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 hidePivotFieldList="1"/>
  <mc:AlternateContent xmlns:mc="http://schemas.openxmlformats.org/markup-compatibility/2006">
    <mc:Choice Requires="x15">
      <x15ac:absPath xmlns:x15ac="http://schemas.microsoft.com/office/spreadsheetml/2010/11/ac" url="C:\Users\Nehaeva.I\Documents\Прайсы\LED\SVT\"/>
    </mc:Choice>
  </mc:AlternateContent>
  <bookViews>
    <workbookView xWindow="0" yWindow="0" windowWidth="20490" windowHeight="6855" activeTab="7"/>
  </bookViews>
  <sheets>
    <sheet name="Прайс свет" sheetId="11" r:id="rId1"/>
    <sheet name="Прайс УФ" sheetId="6" r:id="rId2"/>
    <sheet name="Прайс опоры и фундамент" sheetId="10" r:id="rId3"/>
    <sheet name="КП Свет" sheetId="8" r:id="rId4"/>
    <sheet name="КП УФ" sheetId="5" r:id="rId5"/>
    <sheet name="Список версий" sheetId="3" r:id="rId6"/>
    <sheet name="Наклейки в паспорт Свет" sheetId="9" r:id="rId7"/>
    <sheet name="АКЦИЯ" sheetId="12" r:id="rId8"/>
  </sheets>
  <definedNames>
    <definedName name="_xlnm._FilterDatabase" localSheetId="2" hidden="1">'Прайс опоры и фундамент'!$A$1:$AW$16</definedName>
    <definedName name="_xlnm._FilterDatabase" localSheetId="0" hidden="1">'Прайс свет'!$A$1:$AD$1666</definedName>
    <definedName name="_xlnm._FilterDatabase" localSheetId="1" hidden="1">'Прайс УФ'!$A$1:$AE$2</definedName>
  </definedNames>
  <calcPr calcId="152511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3" i="6" l="1"/>
  <c r="AA4" i="6"/>
  <c r="AA5" i="6"/>
  <c r="AA6" i="6"/>
  <c r="AA7" i="6"/>
  <c r="AA8" i="6"/>
  <c r="AA9" i="6"/>
  <c r="AA10" i="6"/>
  <c r="AA11" i="6"/>
  <c r="AA12" i="6"/>
  <c r="AA13" i="6"/>
  <c r="AA14" i="6"/>
  <c r="AA15" i="6"/>
  <c r="AA16" i="6"/>
  <c r="AA17" i="6"/>
  <c r="AA18" i="6"/>
  <c r="AA19" i="6"/>
  <c r="AA20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C5" i="11"/>
  <c r="AC6" i="11"/>
  <c r="AC7" i="11"/>
  <c r="AC8" i="11"/>
  <c r="AC9" i="11"/>
  <c r="AC10" i="11"/>
  <c r="AC11" i="11"/>
  <c r="AC12" i="11"/>
  <c r="AC13" i="11"/>
  <c r="AC14" i="11"/>
  <c r="AC15" i="11"/>
  <c r="AC16" i="11"/>
  <c r="AC17" i="11"/>
  <c r="AC18" i="11"/>
  <c r="AC19" i="11"/>
  <c r="AC20" i="11"/>
  <c r="AC21" i="11"/>
  <c r="AC22" i="11"/>
  <c r="AC23" i="11"/>
  <c r="AC24" i="11"/>
  <c r="AC27" i="11"/>
  <c r="AC28" i="11"/>
  <c r="AC29" i="11"/>
  <c r="AC30" i="11"/>
  <c r="AC31" i="11"/>
  <c r="AC32" i="11"/>
  <c r="AC33" i="11"/>
  <c r="AC34" i="11"/>
  <c r="AC35" i="11"/>
  <c r="AC36" i="11"/>
  <c r="AC37" i="11"/>
  <c r="AC38" i="11"/>
  <c r="AC39" i="11"/>
  <c r="AC40" i="11"/>
  <c r="AC42" i="11"/>
  <c r="AC43" i="11"/>
  <c r="AC44" i="11"/>
  <c r="AC45" i="11"/>
  <c r="AC46" i="11"/>
  <c r="AC47" i="11"/>
  <c r="AC48" i="11"/>
  <c r="AC49" i="11"/>
  <c r="AC50" i="11"/>
  <c r="AC51" i="11"/>
  <c r="AC52" i="11"/>
  <c r="AC53" i="11"/>
  <c r="AC54" i="11"/>
  <c r="AC55" i="11"/>
  <c r="AC56" i="11"/>
  <c r="AC57" i="11"/>
  <c r="AC58" i="11"/>
  <c r="AC59" i="11"/>
  <c r="AC60" i="11"/>
  <c r="AC61" i="11"/>
  <c r="AC62" i="11"/>
  <c r="AC63" i="11"/>
  <c r="AC64" i="11"/>
  <c r="AC65" i="11"/>
  <c r="AC66" i="11"/>
  <c r="AC67" i="11"/>
  <c r="AC68" i="11"/>
  <c r="AC69" i="11"/>
  <c r="AC70" i="11"/>
  <c r="AC71" i="11"/>
  <c r="AC72" i="11"/>
  <c r="AC73" i="11"/>
  <c r="AC74" i="11"/>
  <c r="AC75" i="11"/>
  <c r="AC76" i="11"/>
  <c r="AC77" i="11"/>
  <c r="AC78" i="11"/>
  <c r="AC79" i="11"/>
  <c r="AC80" i="11"/>
  <c r="AC81" i="11"/>
  <c r="AC82" i="11"/>
  <c r="AC83" i="11"/>
  <c r="AC84" i="11"/>
  <c r="AC85" i="11"/>
  <c r="AC86" i="11"/>
  <c r="AC87" i="11"/>
  <c r="AC88" i="11"/>
  <c r="AC89" i="11"/>
  <c r="AC90" i="11"/>
  <c r="AC91" i="11"/>
  <c r="AC92" i="11"/>
  <c r="AC93" i="11"/>
  <c r="AC94" i="11"/>
  <c r="AC95" i="11"/>
  <c r="AC96" i="11"/>
  <c r="AC97" i="11"/>
  <c r="AC98" i="11"/>
  <c r="AC99" i="11"/>
  <c r="AC100" i="11"/>
  <c r="AC101" i="11"/>
  <c r="AC102" i="11"/>
  <c r="AC103" i="11"/>
  <c r="AC104" i="11"/>
  <c r="AC105" i="11"/>
  <c r="AC106" i="11"/>
  <c r="AC107" i="11"/>
  <c r="AC108" i="11"/>
  <c r="AC109" i="11"/>
  <c r="AC110" i="11"/>
  <c r="AC111" i="11"/>
  <c r="AC112" i="11"/>
  <c r="AC113" i="11"/>
  <c r="AC114" i="11"/>
  <c r="AC115" i="11"/>
  <c r="AC116" i="11"/>
  <c r="AC117" i="11"/>
  <c r="AC118" i="11"/>
  <c r="AC119" i="11"/>
  <c r="AC120" i="11"/>
  <c r="AC121" i="11"/>
  <c r="AC122" i="11"/>
  <c r="AC123" i="11"/>
  <c r="AC124" i="11"/>
  <c r="AC125" i="11"/>
  <c r="AC126" i="11"/>
  <c r="AC127" i="11"/>
  <c r="AC128" i="11"/>
  <c r="AC129" i="11"/>
  <c r="AC130" i="11"/>
  <c r="AC131" i="11"/>
  <c r="AC132" i="11"/>
  <c r="AC134" i="11"/>
  <c r="AC135" i="11"/>
  <c r="AC136" i="11"/>
  <c r="AC137" i="11"/>
  <c r="AC138" i="11"/>
  <c r="AC139" i="11"/>
  <c r="AC141" i="11"/>
  <c r="AC142" i="11"/>
  <c r="AC143" i="11"/>
  <c r="AC144" i="11"/>
  <c r="AC145" i="11"/>
  <c r="AC146" i="11"/>
  <c r="AC147" i="11"/>
  <c r="AC148" i="11"/>
  <c r="AC149" i="11"/>
  <c r="AC150" i="11"/>
  <c r="AC151" i="11"/>
  <c r="AC152" i="11"/>
  <c r="AC153" i="11"/>
  <c r="AC154" i="11"/>
  <c r="AC155" i="11"/>
  <c r="AC156" i="11"/>
  <c r="AC157" i="11"/>
  <c r="AC158" i="11"/>
  <c r="AC159" i="11"/>
  <c r="AC160" i="11"/>
  <c r="AC161" i="11"/>
  <c r="AC162" i="11"/>
  <c r="AC163" i="11"/>
  <c r="AC164" i="11"/>
  <c r="AC165" i="11"/>
  <c r="AC166" i="11"/>
  <c r="AC167" i="11"/>
  <c r="AC168" i="11"/>
  <c r="AC169" i="11"/>
  <c r="AC170" i="11"/>
  <c r="AC172" i="11"/>
  <c r="AC175" i="11"/>
  <c r="AC176" i="11"/>
  <c r="AC177" i="11"/>
  <c r="AC178" i="11"/>
  <c r="AC180" i="11"/>
  <c r="AC181" i="11"/>
  <c r="AC182" i="11"/>
  <c r="AC184" i="11"/>
  <c r="AC185" i="11"/>
  <c r="AC186" i="11"/>
  <c r="AC187" i="11"/>
  <c r="AC188" i="11"/>
  <c r="AC189" i="11"/>
  <c r="AC190" i="11"/>
  <c r="AC191" i="11"/>
  <c r="AC192" i="11"/>
  <c r="AC193" i="11"/>
  <c r="AC194" i="11"/>
  <c r="AC195" i="11"/>
  <c r="AC196" i="11"/>
  <c r="AC197" i="11"/>
  <c r="AC198" i="11"/>
  <c r="AC199" i="11"/>
  <c r="AC200" i="11"/>
  <c r="AC201" i="11"/>
  <c r="AC202" i="11"/>
  <c r="AC203" i="11"/>
  <c r="AC204" i="11"/>
  <c r="AC205" i="11"/>
  <c r="AC206" i="11"/>
  <c r="AC207" i="11"/>
  <c r="AC208" i="11"/>
  <c r="AC209" i="11"/>
  <c r="AC210" i="11"/>
  <c r="AC213" i="11"/>
  <c r="AC214" i="11"/>
  <c r="AC215" i="11"/>
  <c r="AC216" i="11"/>
  <c r="AC217" i="11"/>
  <c r="AC218" i="11"/>
  <c r="AC219" i="11"/>
  <c r="AC220" i="11"/>
  <c r="AC221" i="11"/>
  <c r="AC222" i="11"/>
  <c r="AC223" i="11"/>
  <c r="AC224" i="11"/>
  <c r="AC225" i="11"/>
  <c r="AC226" i="11"/>
  <c r="AC227" i="11"/>
  <c r="AC228" i="11"/>
  <c r="AC229" i="11"/>
  <c r="AC230" i="11"/>
  <c r="AC233" i="11"/>
  <c r="AC234" i="11"/>
  <c r="AC235" i="11"/>
  <c r="AC236" i="11"/>
  <c r="AC237" i="11"/>
  <c r="AC238" i="11"/>
  <c r="AC239" i="11"/>
  <c r="AC240" i="11"/>
  <c r="AC241" i="11"/>
  <c r="AC242" i="11"/>
  <c r="AC243" i="11"/>
  <c r="AC244" i="11"/>
  <c r="AC245" i="11"/>
  <c r="AC246" i="11"/>
  <c r="AC247" i="11"/>
  <c r="AC248" i="11"/>
  <c r="AC249" i="11"/>
  <c r="AC250" i="11"/>
  <c r="AC251" i="11"/>
  <c r="AC252" i="11"/>
  <c r="AC253" i="11"/>
  <c r="AC254" i="11"/>
  <c r="AC255" i="11"/>
  <c r="AC256" i="11"/>
  <c r="AC259" i="11"/>
  <c r="AC260" i="11"/>
  <c r="AC261" i="11"/>
  <c r="AC262" i="11"/>
  <c r="AC263" i="11"/>
  <c r="AC264" i="11"/>
  <c r="AC265" i="11"/>
  <c r="AC266" i="11"/>
  <c r="AC267" i="11"/>
  <c r="AC268" i="11"/>
  <c r="AC269" i="11"/>
  <c r="AC270" i="11"/>
  <c r="AC271" i="11"/>
  <c r="AC272" i="11"/>
  <c r="AC273" i="11"/>
  <c r="AC274" i="11"/>
  <c r="AC275" i="11"/>
  <c r="AC276" i="11"/>
  <c r="AC277" i="11"/>
  <c r="AC278" i="11"/>
  <c r="AC279" i="11"/>
  <c r="AC280" i="11"/>
  <c r="AC281" i="11"/>
  <c r="AC282" i="11"/>
  <c r="AC285" i="11"/>
  <c r="AC286" i="11"/>
  <c r="AC287" i="11"/>
  <c r="AC288" i="11"/>
  <c r="AC289" i="11"/>
  <c r="AC290" i="11"/>
  <c r="AC291" i="11"/>
  <c r="AC292" i="11"/>
  <c r="AC293" i="11"/>
  <c r="AC294" i="11"/>
  <c r="AC295" i="11"/>
  <c r="AC296" i="11"/>
  <c r="AC297" i="11"/>
  <c r="AC298" i="11"/>
  <c r="AC299" i="11"/>
  <c r="AC300" i="11"/>
  <c r="AC301" i="11"/>
  <c r="AC302" i="11"/>
  <c r="AC303" i="11"/>
  <c r="AC304" i="11"/>
  <c r="AC305" i="11"/>
  <c r="AC306" i="11"/>
  <c r="AC307" i="11"/>
  <c r="AC308" i="11"/>
  <c r="AC309" i="11"/>
  <c r="AC310" i="11"/>
  <c r="AC311" i="11"/>
  <c r="AC312" i="11"/>
  <c r="AC313" i="11"/>
  <c r="AC314" i="11"/>
  <c r="AC315" i="11"/>
  <c r="AC316" i="11"/>
  <c r="AC317" i="11"/>
  <c r="AC318" i="11"/>
  <c r="AC319" i="11"/>
  <c r="AC320" i="11"/>
  <c r="AC321" i="11"/>
  <c r="AC322" i="11"/>
  <c r="AC323" i="11"/>
  <c r="AC324" i="11"/>
  <c r="AC325" i="11"/>
  <c r="AC326" i="11"/>
  <c r="AC327" i="11"/>
  <c r="AC328" i="11"/>
  <c r="AC329" i="11"/>
  <c r="AC330" i="11"/>
  <c r="AC331" i="11"/>
  <c r="AC332" i="11"/>
  <c r="AC333" i="11"/>
  <c r="AC334" i="11"/>
  <c r="AC335" i="11"/>
  <c r="AC336" i="11"/>
  <c r="AC337" i="11"/>
  <c r="AC338" i="11"/>
  <c r="AC339" i="11"/>
  <c r="AC340" i="11"/>
  <c r="AC341" i="11"/>
  <c r="AC342" i="11"/>
  <c r="AC343" i="11"/>
  <c r="AC344" i="11"/>
  <c r="AC345" i="11"/>
  <c r="AC346" i="11"/>
  <c r="AC347" i="11"/>
  <c r="AC348" i="11"/>
  <c r="AC349" i="11"/>
  <c r="AC350" i="11"/>
  <c r="AC351" i="11"/>
  <c r="AC352" i="11"/>
  <c r="AC353" i="11"/>
  <c r="AC354" i="11"/>
  <c r="AC355" i="11"/>
  <c r="AC356" i="11"/>
  <c r="AC357" i="11"/>
  <c r="AC358" i="11"/>
  <c r="AC359" i="11"/>
  <c r="AC360" i="11"/>
  <c r="AC361" i="11"/>
  <c r="AC362" i="11"/>
  <c r="AC363" i="11"/>
  <c r="AC364" i="11"/>
  <c r="AC365" i="11"/>
  <c r="AC366" i="11"/>
  <c r="AC367" i="11"/>
  <c r="AC368" i="11"/>
  <c r="AC369" i="11"/>
  <c r="AC370" i="11"/>
  <c r="AC371" i="11"/>
  <c r="AC372" i="11"/>
  <c r="AC373" i="11"/>
  <c r="AC374" i="11"/>
  <c r="AC375" i="11"/>
  <c r="AC376" i="11"/>
  <c r="AC377" i="11"/>
  <c r="AC378" i="11"/>
  <c r="AC379" i="11"/>
  <c r="AC380" i="11"/>
  <c r="AC381" i="11"/>
  <c r="AC382" i="11"/>
  <c r="AC383" i="11"/>
  <c r="AC384" i="11"/>
  <c r="AC385" i="11"/>
  <c r="AC386" i="11"/>
  <c r="AC387" i="11"/>
  <c r="AC388" i="11"/>
  <c r="AC389" i="11"/>
  <c r="AC390" i="11"/>
  <c r="AC391" i="11"/>
  <c r="AC392" i="11"/>
  <c r="AC393" i="11"/>
  <c r="AC394" i="11"/>
  <c r="AC396" i="11"/>
  <c r="AC400" i="11"/>
  <c r="AC401" i="11"/>
  <c r="AC402" i="11"/>
  <c r="AC404" i="11"/>
  <c r="AC405" i="11"/>
  <c r="AC406" i="11"/>
  <c r="AC407" i="11"/>
  <c r="AC408" i="11"/>
  <c r="AC409" i="11"/>
  <c r="AC410" i="11"/>
  <c r="AC411" i="11"/>
  <c r="AC412" i="11"/>
  <c r="AC413" i="11"/>
  <c r="AC414" i="11"/>
  <c r="AC415" i="11"/>
  <c r="AC417" i="11"/>
  <c r="AC418" i="11"/>
  <c r="AC419" i="11"/>
  <c r="AC421" i="11"/>
  <c r="AC422" i="11"/>
  <c r="AC423" i="11"/>
  <c r="AC424" i="11"/>
  <c r="AC426" i="11"/>
  <c r="AC427" i="11"/>
  <c r="AC428" i="11"/>
  <c r="AC429" i="11"/>
  <c r="AC430" i="11"/>
  <c r="AC431" i="11"/>
  <c r="AC432" i="11"/>
  <c r="AC433" i="11"/>
  <c r="AC434" i="11"/>
  <c r="AC435" i="11"/>
  <c r="AC436" i="11"/>
  <c r="AC437" i="11"/>
  <c r="AC438" i="11"/>
  <c r="AC439" i="11"/>
  <c r="AC440" i="11"/>
  <c r="AC441" i="11"/>
  <c r="AC442" i="11"/>
  <c r="AC443" i="11"/>
  <c r="AC444" i="11"/>
  <c r="AC445" i="11"/>
  <c r="AC446" i="11"/>
  <c r="AC447" i="11"/>
  <c r="AC448" i="11"/>
  <c r="AC449" i="11"/>
  <c r="AC450" i="11"/>
  <c r="AC451" i="11"/>
  <c r="AC452" i="11"/>
  <c r="AC453" i="11"/>
  <c r="AC454" i="11"/>
  <c r="AC455" i="11"/>
  <c r="AC456" i="11"/>
  <c r="AC457" i="11"/>
  <c r="AC458" i="11"/>
  <c r="AC459" i="11"/>
  <c r="AC460" i="11"/>
  <c r="AC464" i="11"/>
  <c r="AC465" i="11"/>
  <c r="AC466" i="11"/>
  <c r="AC467" i="11"/>
  <c r="AC468" i="11"/>
  <c r="AC469" i="11"/>
  <c r="AC470" i="11"/>
  <c r="AC471" i="11"/>
  <c r="AC472" i="11"/>
  <c r="AC473" i="11"/>
  <c r="AC474" i="11"/>
  <c r="AC475" i="11"/>
  <c r="AC476" i="11"/>
  <c r="AC477" i="11"/>
  <c r="AC478" i="11"/>
  <c r="AC479" i="11"/>
  <c r="AC480" i="11"/>
  <c r="AC481" i="11"/>
  <c r="AC482" i="11"/>
  <c r="AC483" i="11"/>
  <c r="AC484" i="11"/>
  <c r="AC485" i="11"/>
  <c r="AC486" i="11"/>
  <c r="AC487" i="11"/>
  <c r="AC488" i="11"/>
  <c r="AC489" i="11"/>
  <c r="AC490" i="11"/>
  <c r="AC491" i="11"/>
  <c r="AC492" i="11"/>
  <c r="AC493" i="11"/>
  <c r="AC494" i="11"/>
  <c r="AC495" i="11"/>
  <c r="AC496" i="11"/>
  <c r="AC497" i="11"/>
  <c r="AC498" i="11"/>
  <c r="AC499" i="11"/>
  <c r="AC500" i="11"/>
  <c r="AC501" i="11"/>
  <c r="AC502" i="11"/>
  <c r="AC503" i="11"/>
  <c r="AC504" i="11"/>
  <c r="AC505" i="11"/>
  <c r="AC506" i="11"/>
  <c r="AC507" i="11"/>
  <c r="AC511" i="11"/>
  <c r="AC512" i="11"/>
  <c r="AC513" i="11"/>
  <c r="AC514" i="11"/>
  <c r="AC515" i="11"/>
  <c r="AC516" i="11"/>
  <c r="AC517" i="11"/>
  <c r="AC518" i="11"/>
  <c r="AC519" i="11"/>
  <c r="AC520" i="11"/>
  <c r="AC521" i="11"/>
  <c r="AC522" i="11"/>
  <c r="AC523" i="11"/>
  <c r="AC524" i="11"/>
  <c r="AC525" i="11"/>
  <c r="AC526" i="11"/>
  <c r="AC527" i="11"/>
  <c r="AC528" i="11"/>
  <c r="AC529" i="11"/>
  <c r="AC530" i="11"/>
  <c r="AC531" i="11"/>
  <c r="AC532" i="11"/>
  <c r="AC533" i="11"/>
  <c r="AC534" i="11"/>
  <c r="AC535" i="11"/>
  <c r="AC536" i="11"/>
  <c r="AC537" i="11"/>
  <c r="AC538" i="11"/>
  <c r="AC539" i="11"/>
  <c r="AC540" i="11"/>
  <c r="AC541" i="11"/>
  <c r="AC542" i="11"/>
  <c r="AC543" i="11"/>
  <c r="AC544" i="11"/>
  <c r="AC545" i="11"/>
  <c r="AC546" i="11"/>
  <c r="AC547" i="11"/>
  <c r="AC548" i="11"/>
  <c r="AC549" i="11"/>
  <c r="AC550" i="11"/>
  <c r="AC551" i="11"/>
  <c r="AC552" i="11"/>
  <c r="AC553" i="11"/>
  <c r="AC554" i="11"/>
  <c r="AC555" i="11"/>
  <c r="AC556" i="11"/>
  <c r="AC557" i="11"/>
  <c r="AC558" i="11"/>
  <c r="AC559" i="11"/>
  <c r="AC560" i="11"/>
  <c r="AC561" i="11"/>
  <c r="AC562" i="11"/>
  <c r="AC563" i="11"/>
  <c r="AC564" i="11"/>
  <c r="AC565" i="11"/>
  <c r="AC566" i="11"/>
  <c r="AC567" i="11"/>
  <c r="AC568" i="11"/>
  <c r="AC569" i="11"/>
  <c r="AC570" i="11"/>
  <c r="AC571" i="11"/>
  <c r="AC572" i="11"/>
  <c r="AC573" i="11"/>
  <c r="AC574" i="11"/>
  <c r="AC575" i="11"/>
  <c r="AC576" i="11"/>
  <c r="AC577" i="11"/>
  <c r="AC578" i="11"/>
  <c r="AC579" i="11"/>
  <c r="AC580" i="11"/>
  <c r="AC581" i="11"/>
  <c r="AC582" i="11"/>
  <c r="AC583" i="11"/>
  <c r="AC584" i="11"/>
  <c r="AC585" i="11"/>
  <c r="AC586" i="11"/>
  <c r="AC587" i="11"/>
  <c r="AC588" i="11"/>
  <c r="AC589" i="11"/>
  <c r="AC590" i="11"/>
  <c r="AC591" i="11"/>
  <c r="AC592" i="11"/>
  <c r="AC593" i="11"/>
  <c r="AC594" i="11"/>
  <c r="AC595" i="11"/>
  <c r="AC596" i="11"/>
  <c r="AC599" i="11"/>
  <c r="AC600" i="11"/>
  <c r="AC601" i="11"/>
  <c r="AC602" i="11"/>
  <c r="AC603" i="11"/>
  <c r="AC604" i="11"/>
  <c r="AC605" i="11"/>
  <c r="AC606" i="11"/>
  <c r="AC607" i="11"/>
  <c r="AC608" i="11"/>
  <c r="AC609" i="11"/>
  <c r="AC610" i="11"/>
  <c r="AC611" i="11"/>
  <c r="AC612" i="11"/>
  <c r="AC613" i="11"/>
  <c r="AC614" i="11"/>
  <c r="AC615" i="11"/>
  <c r="AC616" i="11"/>
  <c r="AC617" i="11"/>
  <c r="AC618" i="11"/>
  <c r="AC619" i="11"/>
  <c r="AC620" i="11"/>
  <c r="AC621" i="11"/>
  <c r="AC622" i="11"/>
  <c r="AC623" i="11"/>
  <c r="AC624" i="11"/>
  <c r="AC625" i="11"/>
  <c r="AC626" i="11"/>
  <c r="AC627" i="11"/>
  <c r="AC628" i="11"/>
  <c r="AC629" i="11"/>
  <c r="AC630" i="11"/>
  <c r="AC631" i="11"/>
  <c r="AC632" i="11"/>
  <c r="AC633" i="11"/>
  <c r="AC634" i="11"/>
  <c r="AC635" i="11"/>
  <c r="AC636" i="11"/>
  <c r="AC637" i="11"/>
  <c r="AC638" i="11"/>
  <c r="AC639" i="11"/>
  <c r="AC640" i="11"/>
  <c r="AC641" i="11"/>
  <c r="AC642" i="11"/>
  <c r="AC643" i="11"/>
  <c r="AC644" i="11"/>
  <c r="AC645" i="11"/>
  <c r="AC646" i="11"/>
  <c r="AC647" i="11"/>
  <c r="AC648" i="11"/>
  <c r="AC649" i="11"/>
  <c r="AC650" i="11"/>
  <c r="AC651" i="11"/>
  <c r="AC652" i="11"/>
  <c r="AC653" i="11"/>
  <c r="AC654" i="11"/>
  <c r="AC655" i="11"/>
  <c r="AC656" i="11"/>
  <c r="AC657" i="11"/>
  <c r="AC658" i="11"/>
  <c r="AC659" i="11"/>
  <c r="AC660" i="11"/>
  <c r="AC661" i="11"/>
  <c r="AC662" i="11"/>
  <c r="AC663" i="11"/>
  <c r="AC664" i="11"/>
  <c r="AC665" i="11"/>
  <c r="AC666" i="11"/>
  <c r="AC669" i="11"/>
  <c r="AC670" i="11"/>
  <c r="AC671" i="11"/>
  <c r="AC672" i="11"/>
  <c r="AC673" i="11"/>
  <c r="AC674" i="11"/>
  <c r="AC675" i="11"/>
  <c r="AC676" i="11"/>
  <c r="AC677" i="11"/>
  <c r="AC678" i="11"/>
  <c r="AC679" i="11"/>
  <c r="AC680" i="11"/>
  <c r="AC681" i="11"/>
  <c r="AC682" i="11"/>
  <c r="AC683" i="11"/>
  <c r="AC684" i="11"/>
  <c r="AC685" i="11"/>
  <c r="AC686" i="11"/>
  <c r="AC687" i="11"/>
  <c r="AC688" i="11"/>
  <c r="AC689" i="11"/>
  <c r="AC692" i="11"/>
  <c r="AC693" i="11"/>
  <c r="AC694" i="11"/>
  <c r="AC695" i="11"/>
  <c r="AC696" i="11"/>
  <c r="AC697" i="11"/>
  <c r="AC698" i="11"/>
  <c r="AC699" i="11"/>
  <c r="AC700" i="11"/>
  <c r="AC701" i="11"/>
  <c r="AC702" i="11"/>
  <c r="AC703" i="11"/>
  <c r="AC704" i="11"/>
  <c r="AC705" i="11"/>
  <c r="AC706" i="11"/>
  <c r="AC707" i="11"/>
  <c r="AC708" i="11"/>
  <c r="AC709" i="11"/>
  <c r="AC710" i="11"/>
  <c r="AC711" i="11"/>
  <c r="AC712" i="11"/>
  <c r="AC713" i="11"/>
  <c r="AC714" i="11"/>
  <c r="AC715" i="11"/>
  <c r="AC716" i="11"/>
  <c r="AC717" i="11"/>
  <c r="AC719" i="11"/>
  <c r="AC720" i="11"/>
  <c r="AC721" i="11"/>
  <c r="AC722" i="11"/>
  <c r="AC723" i="11"/>
  <c r="AC724" i="11"/>
  <c r="AC725" i="11"/>
  <c r="AC726" i="11"/>
  <c r="AC727" i="11"/>
  <c r="AC728" i="11"/>
  <c r="AC729" i="11"/>
  <c r="AC730" i="11"/>
  <c r="AC731" i="11"/>
  <c r="AC732" i="11"/>
  <c r="AC733" i="11"/>
  <c r="AC734" i="11"/>
  <c r="AC735" i="11"/>
  <c r="AC736" i="11"/>
  <c r="AC737" i="11"/>
  <c r="AC738" i="11"/>
  <c r="AC739" i="11"/>
  <c r="AC740" i="11"/>
  <c r="AC741" i="11"/>
  <c r="AC742" i="11"/>
  <c r="AC743" i="11"/>
  <c r="AC744" i="11"/>
  <c r="AC745" i="11"/>
  <c r="AC746" i="11"/>
  <c r="AC747" i="11"/>
  <c r="AC748" i="11"/>
  <c r="AC749" i="11"/>
  <c r="AC750" i="11"/>
  <c r="AC751" i="11"/>
  <c r="AC752" i="11"/>
  <c r="AC753" i="11"/>
  <c r="AC754" i="11"/>
  <c r="AC755" i="11"/>
  <c r="AC756" i="11"/>
  <c r="AC757" i="11"/>
  <c r="AC758" i="11"/>
  <c r="AC760" i="11"/>
  <c r="AC761" i="11"/>
  <c r="AC762" i="11"/>
  <c r="AC763" i="11"/>
  <c r="AC764" i="11"/>
  <c r="AC765" i="11"/>
  <c r="AC766" i="11"/>
  <c r="AC767" i="11"/>
  <c r="AC768" i="11"/>
  <c r="AC769" i="11"/>
  <c r="AC770" i="11"/>
  <c r="AC771" i="11"/>
  <c r="AC772" i="11"/>
  <c r="AC773" i="11"/>
  <c r="AC774" i="11"/>
  <c r="AC775" i="11"/>
  <c r="AC776" i="11"/>
  <c r="AC777" i="11"/>
  <c r="AC778" i="11"/>
  <c r="AC779" i="11"/>
  <c r="AC780" i="11"/>
  <c r="AC781" i="11"/>
  <c r="AC782" i="11"/>
  <c r="AC783" i="11"/>
  <c r="AC784" i="11"/>
  <c r="AC785" i="11"/>
  <c r="AC786" i="11"/>
  <c r="AC787" i="11"/>
  <c r="AC788" i="11"/>
  <c r="AC789" i="11"/>
  <c r="AC790" i="11"/>
  <c r="AC791" i="11"/>
  <c r="AC792" i="11"/>
  <c r="AC793" i="11"/>
  <c r="AC794" i="11"/>
  <c r="AC795" i="11"/>
  <c r="AC796" i="11"/>
  <c r="AC797" i="11"/>
  <c r="AC798" i="11"/>
  <c r="AC799" i="11"/>
  <c r="AC800" i="11"/>
  <c r="AC801" i="11"/>
  <c r="AC802" i="11"/>
  <c r="AC803" i="11"/>
  <c r="AC804" i="11"/>
  <c r="AC805" i="11"/>
  <c r="AC806" i="11"/>
  <c r="AC807" i="11"/>
  <c r="AC808" i="11"/>
  <c r="AC809" i="11"/>
  <c r="AC810" i="11"/>
  <c r="AC811" i="11"/>
  <c r="AC812" i="11"/>
  <c r="AC813" i="11"/>
  <c r="AC814" i="11"/>
  <c r="AC815" i="11"/>
  <c r="AC816" i="11"/>
  <c r="AC817" i="11"/>
  <c r="AC818" i="11"/>
  <c r="AC819" i="11"/>
  <c r="AC820" i="11"/>
  <c r="AC822" i="11"/>
  <c r="AC823" i="11"/>
  <c r="AC824" i="11"/>
  <c r="AC825" i="11"/>
  <c r="AC826" i="11"/>
  <c r="AC827" i="11"/>
  <c r="AC828" i="11"/>
  <c r="AC829" i="11"/>
  <c r="AC830" i="11"/>
  <c r="AC831" i="11"/>
  <c r="AC832" i="11"/>
  <c r="AC833" i="11"/>
  <c r="AC834" i="11"/>
  <c r="AC835" i="11"/>
  <c r="AC836" i="11"/>
  <c r="AC837" i="11"/>
  <c r="AC838" i="11"/>
  <c r="AC839" i="11"/>
  <c r="AC840" i="11"/>
  <c r="AC841" i="11"/>
  <c r="AC842" i="11"/>
  <c r="AC843" i="11"/>
  <c r="AC844" i="11"/>
  <c r="AC845" i="11"/>
  <c r="AC846" i="11"/>
  <c r="AC847" i="11"/>
  <c r="AC848" i="11"/>
  <c r="AC849" i="11"/>
  <c r="AC850" i="11"/>
  <c r="AC851" i="11"/>
  <c r="AC852" i="11"/>
  <c r="AC853" i="11"/>
  <c r="AC854" i="11"/>
  <c r="AC855" i="11"/>
  <c r="AC856" i="11"/>
  <c r="AC857" i="11"/>
  <c r="AC858" i="11"/>
  <c r="AC859" i="11"/>
  <c r="AC860" i="11"/>
  <c r="AC861" i="11"/>
  <c r="AC862" i="11"/>
  <c r="AC863" i="11"/>
  <c r="AC864" i="11"/>
  <c r="AC865" i="11"/>
  <c r="AC866" i="11"/>
  <c r="AC867" i="11"/>
  <c r="AC868" i="11"/>
  <c r="AC869" i="11"/>
  <c r="AC870" i="11"/>
  <c r="AC871" i="11"/>
  <c r="AC872" i="11"/>
  <c r="AC873" i="11"/>
  <c r="AC874" i="11"/>
  <c r="AC875" i="11"/>
  <c r="AC876" i="11"/>
  <c r="AC877" i="11"/>
  <c r="AC878" i="11"/>
  <c r="AC879" i="11"/>
  <c r="AC880" i="11"/>
  <c r="AC881" i="11"/>
  <c r="AC882" i="11"/>
  <c r="AC883" i="11"/>
  <c r="AC884" i="11"/>
  <c r="AC885" i="11"/>
  <c r="AC886" i="11"/>
  <c r="AC887" i="11"/>
  <c r="AC888" i="11"/>
  <c r="AC889" i="11"/>
  <c r="AC890" i="11"/>
  <c r="AC891" i="11"/>
  <c r="AC892" i="11"/>
  <c r="AC893" i="11"/>
  <c r="AC894" i="11"/>
  <c r="AC895" i="11"/>
  <c r="AC896" i="11"/>
  <c r="AC897" i="11"/>
  <c r="AC898" i="11"/>
  <c r="AC899" i="11"/>
  <c r="AC900" i="11"/>
  <c r="AC901" i="11"/>
  <c r="AC902" i="11"/>
  <c r="AC903" i="11"/>
  <c r="AC904" i="11"/>
  <c r="AC905" i="11"/>
  <c r="AC906" i="11"/>
  <c r="AC907" i="11"/>
  <c r="AC908" i="11"/>
  <c r="AC909" i="11"/>
  <c r="AC910" i="11"/>
  <c r="AC911" i="11"/>
  <c r="AC912" i="11"/>
  <c r="AC913" i="11"/>
  <c r="AC914" i="11"/>
  <c r="AC915" i="11"/>
  <c r="AC916" i="11"/>
  <c r="AC917" i="11"/>
  <c r="AC918" i="11"/>
  <c r="AC919" i="11"/>
  <c r="AC920" i="11"/>
  <c r="AC921" i="11"/>
  <c r="AC922" i="11"/>
  <c r="AC923" i="11"/>
  <c r="AC924" i="11"/>
  <c r="AC925" i="11"/>
  <c r="AC926" i="11"/>
  <c r="AC927" i="11"/>
  <c r="AC928" i="11"/>
  <c r="AC929" i="11"/>
  <c r="AC930" i="11"/>
  <c r="AC931" i="11"/>
  <c r="AC932" i="11"/>
  <c r="AC933" i="11"/>
  <c r="AC934" i="11"/>
  <c r="AC935" i="11"/>
  <c r="AC936" i="11"/>
  <c r="AC937" i="11"/>
  <c r="AC938" i="11"/>
  <c r="AC939" i="11"/>
  <c r="AC940" i="11"/>
  <c r="AC941" i="11"/>
  <c r="AC942" i="11"/>
  <c r="AC943" i="11"/>
  <c r="AC945" i="11"/>
  <c r="AC946" i="11"/>
  <c r="AC947" i="11"/>
  <c r="AC948" i="11"/>
  <c r="AC949" i="11"/>
  <c r="AC950" i="11"/>
  <c r="AC952" i="11"/>
  <c r="AC953" i="11"/>
  <c r="AC954" i="11"/>
  <c r="AC955" i="11"/>
  <c r="AC956" i="11"/>
  <c r="AC957" i="11"/>
  <c r="AC958" i="11"/>
  <c r="AC959" i="11"/>
  <c r="AC960" i="11"/>
  <c r="AC961" i="11"/>
  <c r="AC962" i="11"/>
  <c r="AC963" i="11"/>
  <c r="AC964" i="11"/>
  <c r="AC965" i="11"/>
  <c r="AC966" i="11"/>
  <c r="AC967" i="11"/>
  <c r="AC968" i="11"/>
  <c r="AC969" i="11"/>
  <c r="AC970" i="11"/>
  <c r="AC971" i="11"/>
  <c r="AC972" i="11"/>
  <c r="AC973" i="11"/>
  <c r="AC974" i="11"/>
  <c r="AC975" i="11"/>
  <c r="AC976" i="11"/>
  <c r="AC977" i="11"/>
  <c r="AC978" i="11"/>
  <c r="AC979" i="11"/>
  <c r="AC980" i="11"/>
  <c r="AC981" i="11"/>
  <c r="AC984" i="11"/>
  <c r="AC985" i="11"/>
  <c r="AC986" i="11"/>
  <c r="AC987" i="11"/>
  <c r="AC989" i="11"/>
  <c r="AC990" i="11"/>
  <c r="AC991" i="11"/>
  <c r="AC992" i="11"/>
  <c r="AC993" i="11"/>
  <c r="AC994" i="11"/>
  <c r="AC995" i="11"/>
  <c r="AC996" i="11"/>
  <c r="AC997" i="11"/>
  <c r="AC999" i="11"/>
  <c r="AC1000" i="11"/>
  <c r="AC1001" i="11"/>
  <c r="AC1002" i="11"/>
  <c r="AC1003" i="11"/>
  <c r="AC1004" i="11"/>
  <c r="AC1005" i="11"/>
  <c r="AC1006" i="11"/>
  <c r="AC1007" i="11"/>
  <c r="AC1008" i="11"/>
  <c r="AC1009" i="11"/>
  <c r="AC1010" i="11"/>
  <c r="AC1011" i="11"/>
  <c r="AC1012" i="11"/>
  <c r="AC1013" i="11"/>
  <c r="AC1014" i="11"/>
  <c r="AC1015" i="11"/>
  <c r="AC1016" i="11"/>
  <c r="AC1017" i="11"/>
  <c r="AC1018" i="11"/>
  <c r="AC1019" i="11"/>
  <c r="AC1020" i="11"/>
  <c r="AC1021" i="11"/>
  <c r="AC1022" i="11"/>
  <c r="AC1023" i="11"/>
  <c r="AC1024" i="11"/>
  <c r="AC1025" i="11"/>
  <c r="AC1026" i="11"/>
  <c r="AC1027" i="11"/>
  <c r="AC1028" i="11"/>
  <c r="AC1029" i="11"/>
  <c r="AC1030" i="11"/>
  <c r="AC1032" i="11"/>
  <c r="AC1033" i="11"/>
  <c r="AC1034" i="11"/>
  <c r="AC1035" i="11"/>
  <c r="AC1036" i="11"/>
  <c r="AC1037" i="11"/>
  <c r="AC1038" i="11"/>
  <c r="AC1039" i="11"/>
  <c r="AC1040" i="11"/>
  <c r="AC1041" i="11"/>
  <c r="AC1042" i="11"/>
  <c r="AC1043" i="11"/>
  <c r="AC1044" i="11"/>
  <c r="AC1045" i="11"/>
  <c r="AC1046" i="11"/>
  <c r="AC1047" i="11"/>
  <c r="AC1048" i="11"/>
  <c r="AC1049" i="11"/>
  <c r="AC1050" i="11"/>
  <c r="AC1051" i="11"/>
  <c r="AC1052" i="11"/>
  <c r="AC1053" i="11"/>
  <c r="AC1054" i="11"/>
  <c r="AC1055" i="11"/>
  <c r="AC1058" i="11"/>
  <c r="AC1059" i="11"/>
  <c r="AC1060" i="11"/>
  <c r="AC1061" i="11"/>
  <c r="AC1062" i="11"/>
  <c r="AC1063" i="11"/>
  <c r="AC1064" i="11"/>
  <c r="AC1065" i="11"/>
  <c r="AC1066" i="11"/>
  <c r="AC1067" i="11"/>
  <c r="AC1068" i="11"/>
  <c r="AC1069" i="11"/>
  <c r="AC1070" i="11"/>
  <c r="AC1071" i="11"/>
  <c r="AC1072" i="11"/>
  <c r="AC1073" i="11"/>
  <c r="AC1077" i="11"/>
  <c r="AC1078" i="11"/>
  <c r="AC1079" i="11"/>
  <c r="AC1080" i="11"/>
  <c r="AC1081" i="11"/>
  <c r="AC1082" i="11"/>
  <c r="AC1083" i="11"/>
  <c r="AC1084" i="11"/>
  <c r="AC1085" i="11"/>
  <c r="AC1086" i="11"/>
  <c r="AC1087" i="11"/>
  <c r="AC1088" i="11"/>
  <c r="AC1089" i="11"/>
  <c r="AC1090" i="11"/>
  <c r="AC1091" i="11"/>
  <c r="AC1092" i="11"/>
  <c r="AC1093" i="11"/>
  <c r="AC1094" i="11"/>
  <c r="AC1095" i="11"/>
  <c r="AC1096" i="11"/>
  <c r="AC1097" i="11"/>
  <c r="AC1098" i="11"/>
  <c r="AC1099" i="11"/>
  <c r="AC1100" i="11"/>
  <c r="AC1101" i="11"/>
  <c r="AC1102" i="11"/>
  <c r="AC1103" i="11"/>
  <c r="AC1104" i="11"/>
  <c r="AC1105" i="11"/>
  <c r="AC1106" i="11"/>
  <c r="AC1107" i="11"/>
  <c r="AC1108" i="11"/>
  <c r="AC1109" i="11"/>
  <c r="AC1110" i="11"/>
  <c r="AC1111" i="11"/>
  <c r="AC1112" i="11"/>
  <c r="AC1113" i="11"/>
  <c r="AC1114" i="11"/>
  <c r="AC1115" i="11"/>
  <c r="AC1116" i="11"/>
  <c r="AC1117" i="11"/>
  <c r="AC1118" i="11"/>
  <c r="AC1119" i="11"/>
  <c r="AC1120" i="11"/>
  <c r="AC1121" i="11"/>
  <c r="AC1122" i="11"/>
  <c r="AC1123" i="11"/>
  <c r="AC1124" i="11"/>
  <c r="AC1126" i="11"/>
  <c r="AC1127" i="11"/>
  <c r="AC1128" i="11"/>
  <c r="AC1129" i="11"/>
  <c r="AC1130" i="11"/>
  <c r="AC1131" i="11"/>
  <c r="AC1132" i="11"/>
  <c r="AC1133" i="11"/>
  <c r="AC1134" i="11"/>
  <c r="AC1135" i="11"/>
  <c r="AC1136" i="11"/>
  <c r="AC1137" i="11"/>
  <c r="AC1138" i="11"/>
  <c r="AC1139" i="11"/>
  <c r="AC1140" i="11"/>
  <c r="AC1141" i="11"/>
  <c r="AC1142" i="11"/>
  <c r="AC1143" i="11"/>
  <c r="AC1144" i="11"/>
  <c r="AC1145" i="11"/>
  <c r="AC1146" i="11"/>
  <c r="AC1147" i="11"/>
  <c r="AC1148" i="11"/>
  <c r="AC1149" i="11"/>
  <c r="AC1150" i="11"/>
  <c r="AC1151" i="11"/>
  <c r="AC1152" i="11"/>
  <c r="AC1153" i="11"/>
  <c r="AC1154" i="11"/>
  <c r="AC1155" i="11"/>
  <c r="AC1156" i="11"/>
  <c r="AC1157" i="11"/>
  <c r="AC1158" i="11"/>
  <c r="AC1159" i="11"/>
  <c r="AC1160" i="11"/>
  <c r="AC1161" i="11"/>
  <c r="AC1162" i="11"/>
  <c r="AC1163" i="11"/>
  <c r="AC1164" i="11"/>
  <c r="AC1165" i="11"/>
  <c r="AC1167" i="11"/>
  <c r="AC1168" i="11"/>
  <c r="AC1169" i="11"/>
  <c r="AC1170" i="11"/>
  <c r="AC1171" i="11"/>
  <c r="AC1172" i="11"/>
  <c r="AC1173" i="11"/>
  <c r="AC1174" i="11"/>
  <c r="AC1175" i="11"/>
  <c r="AC1176" i="11"/>
  <c r="AC1177" i="11"/>
  <c r="AC1178" i="11"/>
  <c r="AC1180" i="11"/>
  <c r="AC1181" i="11"/>
  <c r="AC1182" i="11"/>
  <c r="AC1183" i="11"/>
  <c r="AC1184" i="11"/>
  <c r="AC1185" i="11"/>
  <c r="AC1186" i="11"/>
  <c r="AC1187" i="11"/>
  <c r="AC1188" i="11"/>
  <c r="AC1189" i="11"/>
  <c r="AC1190" i="11"/>
  <c r="AC1191" i="11"/>
  <c r="AC1192" i="11"/>
  <c r="AC1193" i="11"/>
  <c r="AC1194" i="11"/>
  <c r="AC1196" i="11"/>
  <c r="AC1197" i="11"/>
  <c r="AC1198" i="11"/>
  <c r="AC1200" i="11"/>
  <c r="AC1201" i="11"/>
  <c r="AC1203" i="11"/>
  <c r="AC1204" i="11"/>
  <c r="AC1205" i="11"/>
  <c r="AC1206" i="11"/>
  <c r="AC1207" i="11"/>
  <c r="AC1208" i="11"/>
  <c r="AC1209" i="11"/>
  <c r="AC1210" i="11"/>
  <c r="AC1211" i="11"/>
  <c r="AC1212" i="11"/>
  <c r="AC1213" i="11"/>
  <c r="AC1214" i="11"/>
  <c r="AC1215" i="11"/>
  <c r="AC1216" i="11"/>
  <c r="AC1217" i="11"/>
  <c r="AC1218" i="11"/>
  <c r="AC1219" i="11"/>
  <c r="AC1220" i="11"/>
  <c r="AC1221" i="11"/>
  <c r="AC1222" i="11"/>
  <c r="AC1223" i="11"/>
  <c r="AC1224" i="11"/>
  <c r="AC1225" i="11"/>
  <c r="AC1226" i="11"/>
  <c r="AC1227" i="11"/>
  <c r="AC1228" i="11"/>
  <c r="AC1229" i="11"/>
  <c r="AC1230" i="11"/>
  <c r="AC1231" i="11"/>
  <c r="AC1232" i="11"/>
  <c r="AC1233" i="11"/>
  <c r="AC1234" i="11"/>
  <c r="AC1235" i="11"/>
  <c r="AC1236" i="11"/>
  <c r="AC1237" i="11"/>
  <c r="AC1238" i="11"/>
  <c r="AC1241" i="11"/>
  <c r="AC1242" i="11"/>
  <c r="AC1243" i="11"/>
  <c r="AC1244" i="11"/>
  <c r="AC1245" i="11"/>
  <c r="AC1246" i="11"/>
  <c r="AC1247" i="11"/>
  <c r="AC1248" i="11"/>
  <c r="AC1249" i="11"/>
  <c r="AC1252" i="11"/>
  <c r="AC1253" i="11"/>
  <c r="AC1254" i="11"/>
  <c r="AC1255" i="11"/>
  <c r="AC1256" i="11"/>
  <c r="AC1257" i="11"/>
  <c r="AC1258" i="11"/>
  <c r="AC1259" i="11"/>
  <c r="AC1260" i="11"/>
  <c r="AC1261" i="11"/>
  <c r="AC1262" i="11"/>
  <c r="AC1263" i="11"/>
  <c r="AC1264" i="11"/>
  <c r="AC1265" i="11"/>
  <c r="AC1266" i="11"/>
  <c r="AC1267" i="11"/>
  <c r="AC1268" i="11"/>
  <c r="AC1269" i="11"/>
  <c r="AC1270" i="11"/>
  <c r="AC1271" i="11"/>
  <c r="AC1272" i="11"/>
  <c r="AC1273" i="11"/>
  <c r="AC1274" i="11"/>
  <c r="AC1275" i="11"/>
  <c r="AC1276" i="11"/>
  <c r="AC1277" i="11"/>
  <c r="AC1278" i="11"/>
  <c r="AC1279" i="11"/>
  <c r="AC1280" i="11"/>
  <c r="AC1282" i="11"/>
  <c r="AC1283" i="11"/>
  <c r="AC1285" i="11"/>
  <c r="AC1286" i="11"/>
  <c r="AC1287" i="11"/>
  <c r="AC1288" i="11"/>
  <c r="AC1289" i="11"/>
  <c r="AC1290" i="11"/>
  <c r="AC1291" i="11"/>
  <c r="AC1293" i="11"/>
  <c r="AC1294" i="11"/>
  <c r="AC1295" i="11"/>
  <c r="AC1296" i="11"/>
  <c r="AC1298" i="11"/>
  <c r="AC1299" i="11"/>
  <c r="AC1301" i="11"/>
  <c r="AC1302" i="11"/>
  <c r="AC1303" i="11"/>
  <c r="AC1304" i="11"/>
  <c r="AC1305" i="11"/>
  <c r="AC1306" i="11"/>
  <c r="AC1307" i="11"/>
  <c r="AC1308" i="11"/>
  <c r="AC1309" i="11"/>
  <c r="AC1310" i="11"/>
  <c r="AC1311" i="11"/>
  <c r="AC1312" i="11"/>
  <c r="AC1315" i="11"/>
  <c r="AC1316" i="11"/>
  <c r="AC1317" i="11"/>
  <c r="AC1318" i="11"/>
  <c r="AC1320" i="11"/>
  <c r="AC1321" i="11"/>
  <c r="AC1322" i="11"/>
  <c r="AC1323" i="11"/>
  <c r="AC1324" i="11"/>
  <c r="AC1325" i="11"/>
  <c r="AC1326" i="11"/>
  <c r="AC1327" i="11"/>
  <c r="AC1328" i="11"/>
  <c r="AC1329" i="11"/>
  <c r="AC1330" i="11"/>
  <c r="AC1333" i="11"/>
  <c r="AC1334" i="11"/>
  <c r="AC1335" i="11"/>
  <c r="AC1336" i="11"/>
  <c r="AC1337" i="11"/>
  <c r="AC1338" i="11"/>
  <c r="AC1339" i="11"/>
  <c r="AC1340" i="11"/>
  <c r="AC1341" i="11"/>
  <c r="AC1342" i="11"/>
  <c r="AC1343" i="11"/>
  <c r="AC1344" i="11"/>
  <c r="AC1346" i="11"/>
  <c r="AC1347" i="11"/>
  <c r="AC1348" i="11"/>
  <c r="AC1349" i="11"/>
  <c r="AC1350" i="11"/>
  <c r="AC1351" i="11"/>
  <c r="AC1352" i="11"/>
  <c r="AC1353" i="11"/>
  <c r="AC1354" i="11"/>
  <c r="AC1355" i="11"/>
  <c r="AC1356" i="11"/>
  <c r="AC1357" i="11"/>
  <c r="AC1358" i="11"/>
  <c r="AC1359" i="11"/>
  <c r="AC1360" i="11"/>
  <c r="AC1361" i="11"/>
  <c r="AC1362" i="11"/>
  <c r="AC1363" i="11"/>
  <c r="AC1364" i="11"/>
  <c r="AC1365" i="11"/>
  <c r="AC1366" i="11"/>
  <c r="AC1367" i="11"/>
  <c r="AC1368" i="11"/>
  <c r="AC1369" i="11"/>
  <c r="AC1370" i="11"/>
  <c r="AC1371" i="11"/>
  <c r="AC1372" i="11"/>
  <c r="AC1373" i="11"/>
  <c r="AC1374" i="11"/>
  <c r="AC1375" i="11"/>
  <c r="AC1376" i="11"/>
  <c r="AC1377" i="11"/>
  <c r="AC1378" i="11"/>
  <c r="AC1666" i="11" l="1"/>
  <c r="F1666" i="11"/>
  <c r="AC1665" i="11"/>
  <c r="F1665" i="11"/>
  <c r="AC1664" i="11"/>
  <c r="F1664" i="11"/>
  <c r="AC1663" i="11"/>
  <c r="F1663" i="11"/>
  <c r="AC1662" i="11"/>
  <c r="F1662" i="11"/>
  <c r="AC1661" i="11"/>
  <c r="F1661" i="11"/>
  <c r="AC1660" i="11"/>
  <c r="F1660" i="11"/>
  <c r="AC1659" i="11"/>
  <c r="F1659" i="11"/>
  <c r="AC1658" i="11"/>
  <c r="F1658" i="11"/>
  <c r="AC1657" i="11"/>
  <c r="F1657" i="11"/>
  <c r="AC1656" i="11"/>
  <c r="F1656" i="11"/>
  <c r="AC1655" i="11"/>
  <c r="F1655" i="11"/>
  <c r="AC1654" i="11"/>
  <c r="F1654" i="11"/>
  <c r="AC1653" i="11"/>
  <c r="F1653" i="11"/>
  <c r="AC1652" i="11"/>
  <c r="F1652" i="11"/>
  <c r="AC1651" i="11"/>
  <c r="F1651" i="11"/>
  <c r="AC1650" i="11"/>
  <c r="F1650" i="11"/>
  <c r="AC1649" i="11"/>
  <c r="F1649" i="11"/>
  <c r="AC1648" i="11"/>
  <c r="F1648" i="11"/>
  <c r="AC1647" i="11"/>
  <c r="F1647" i="11"/>
  <c r="AC1646" i="11"/>
  <c r="F1646" i="11"/>
  <c r="AC1645" i="11"/>
  <c r="F1645" i="11"/>
  <c r="AC1644" i="11"/>
  <c r="F1644" i="11"/>
  <c r="AC1643" i="11"/>
  <c r="F1643" i="11"/>
  <c r="AC1642" i="11"/>
  <c r="F1642" i="11"/>
  <c r="AC1641" i="11"/>
  <c r="F1641" i="11"/>
  <c r="AC1640" i="11"/>
  <c r="F1640" i="11"/>
  <c r="AC1639" i="11"/>
  <c r="F1639" i="11"/>
  <c r="D7" i="9" l="1"/>
  <c r="C10" i="8" l="1"/>
  <c r="C11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AC1638" i="11" l="1"/>
  <c r="AC1637" i="11"/>
  <c r="AC1636" i="11"/>
  <c r="AC1635" i="11"/>
  <c r="AC1634" i="11" l="1"/>
  <c r="AC1633" i="11"/>
  <c r="AC1632" i="11"/>
  <c r="AC1631" i="11"/>
  <c r="AC1630" i="11"/>
  <c r="AC1629" i="11"/>
  <c r="AC1628" i="11"/>
  <c r="AC1627" i="11"/>
  <c r="AC1626" i="11"/>
  <c r="AC1625" i="11"/>
  <c r="AC1624" i="11"/>
  <c r="AC1623" i="11"/>
  <c r="AC1622" i="11"/>
  <c r="AC1621" i="11"/>
  <c r="AC1620" i="11"/>
  <c r="AC1619" i="11"/>
  <c r="AC1618" i="11"/>
  <c r="AC1617" i="11"/>
  <c r="AC1616" i="11"/>
  <c r="AC1615" i="11"/>
  <c r="AC1614" i="11"/>
  <c r="AC1613" i="11"/>
  <c r="AC1612" i="11" l="1"/>
  <c r="AC1611" i="11"/>
  <c r="AC1610" i="11"/>
  <c r="AC1609" i="11"/>
  <c r="AC1608" i="11"/>
  <c r="AC1607" i="11"/>
  <c r="AC1606" i="11"/>
  <c r="AC1605" i="11"/>
  <c r="AC1604" i="11"/>
  <c r="AC1603" i="11"/>
  <c r="AC1602" i="11"/>
  <c r="AC1601" i="11"/>
  <c r="AC1600" i="11" l="1"/>
  <c r="AC1595" i="11" l="1"/>
  <c r="AC1594" i="11"/>
  <c r="AC1593" i="11"/>
  <c r="AC1592" i="11"/>
  <c r="AC1591" i="11"/>
  <c r="AC1590" i="11"/>
  <c r="AC1589" i="11"/>
  <c r="AC1588" i="11"/>
  <c r="AC1587" i="11"/>
  <c r="AC1586" i="11"/>
  <c r="AC1585" i="11"/>
  <c r="AC1584" i="11"/>
  <c r="AC1583" i="11"/>
  <c r="AC1582" i="11"/>
  <c r="AC1581" i="11"/>
  <c r="AC1580" i="11"/>
  <c r="AC1579" i="11"/>
  <c r="AC1578" i="11"/>
  <c r="AC1577" i="11"/>
  <c r="AC1576" i="11"/>
  <c r="AC1575" i="11"/>
  <c r="AC1574" i="11"/>
  <c r="AC1573" i="11"/>
  <c r="AC1572" i="11"/>
  <c r="AD1560" i="11" l="1"/>
  <c r="AD1561" i="11"/>
  <c r="AD1562" i="11"/>
  <c r="AD1563" i="11"/>
  <c r="AD1564" i="11"/>
  <c r="AD1565" i="11"/>
  <c r="AD1566" i="11"/>
  <c r="AD1567" i="11"/>
  <c r="AD1568" i="11"/>
  <c r="AD1569" i="11"/>
  <c r="AD1570" i="11"/>
  <c r="AD1571" i="11"/>
  <c r="AC1571" i="11"/>
  <c r="AC1570" i="11"/>
  <c r="AC1569" i="11"/>
  <c r="AC1568" i="11"/>
  <c r="AC1567" i="11"/>
  <c r="AC1566" i="11"/>
  <c r="AC1565" i="11"/>
  <c r="AC1564" i="11"/>
  <c r="AC1563" i="11"/>
  <c r="AC1562" i="11"/>
  <c r="AC1561" i="11"/>
  <c r="AC1560" i="11"/>
  <c r="AD1555" i="11"/>
  <c r="AD1556" i="11"/>
  <c r="AD1557" i="11"/>
  <c r="AD1558" i="11"/>
  <c r="AD1559" i="11"/>
  <c r="AC1559" i="11"/>
  <c r="AC1558" i="11"/>
  <c r="AC1557" i="11"/>
  <c r="AC1556" i="11"/>
  <c r="AC1555" i="11"/>
  <c r="AD1549" i="11"/>
  <c r="AD1550" i="11"/>
  <c r="AD1551" i="11"/>
  <c r="AD1552" i="11"/>
  <c r="AD1553" i="11"/>
  <c r="AD1554" i="11"/>
  <c r="AC1554" i="11"/>
  <c r="AC1553" i="11"/>
  <c r="AC1552" i="11"/>
  <c r="AC1551" i="11"/>
  <c r="AC1550" i="11"/>
  <c r="AC1549" i="11"/>
  <c r="AD1539" i="11"/>
  <c r="AD1540" i="11"/>
  <c r="AD1541" i="11"/>
  <c r="AD1542" i="11"/>
  <c r="AD1543" i="11"/>
  <c r="AD1544" i="11"/>
  <c r="AD1545" i="11"/>
  <c r="AD1546" i="11"/>
  <c r="AD1547" i="11"/>
  <c r="AD1548" i="11"/>
  <c r="AC1548" i="11"/>
  <c r="AC1547" i="11"/>
  <c r="AC1546" i="11"/>
  <c r="AC1545" i="11"/>
  <c r="AC1544" i="11"/>
  <c r="AC1543" i="11"/>
  <c r="AC1542" i="11"/>
  <c r="AC1541" i="11"/>
  <c r="AC1540" i="11"/>
  <c r="AC1539" i="11"/>
  <c r="AD1505" i="11"/>
  <c r="AD1506" i="11"/>
  <c r="AD1507" i="11"/>
  <c r="AD1508" i="11"/>
  <c r="AD1509" i="11"/>
  <c r="AD1510" i="11"/>
  <c r="AD1511" i="11"/>
  <c r="AD1512" i="11"/>
  <c r="AD1513" i="11"/>
  <c r="AD1514" i="11"/>
  <c r="AD1515" i="11"/>
  <c r="AD1516" i="11"/>
  <c r="AD1517" i="11"/>
  <c r="AD1518" i="11"/>
  <c r="AD1519" i="11"/>
  <c r="AD1520" i="11"/>
  <c r="AD1521" i="11"/>
  <c r="AD1522" i="11"/>
  <c r="AD1523" i="11"/>
  <c r="AD1524" i="11"/>
  <c r="AD1525" i="11"/>
  <c r="AD1526" i="11"/>
  <c r="AD1527" i="11"/>
  <c r="AD1528" i="11"/>
  <c r="AD1529" i="11"/>
  <c r="AD1530" i="11"/>
  <c r="AD1531" i="11"/>
  <c r="AD1532" i="11"/>
  <c r="AD1533" i="11"/>
  <c r="AD1534" i="11"/>
  <c r="AD1535" i="11"/>
  <c r="AD1536" i="11"/>
  <c r="AD1537" i="11"/>
  <c r="AD1538" i="11"/>
  <c r="AC1538" i="11"/>
  <c r="AC1537" i="11"/>
  <c r="AC1536" i="11"/>
  <c r="AC1535" i="11"/>
  <c r="AC1534" i="11"/>
  <c r="AC1533" i="11"/>
  <c r="AC1532" i="11"/>
  <c r="AC1531" i="11"/>
  <c r="AC1530" i="11"/>
  <c r="AC1529" i="11"/>
  <c r="AC1528" i="11"/>
  <c r="AC1527" i="11"/>
  <c r="AC1526" i="11"/>
  <c r="AC1525" i="11"/>
  <c r="AC1524" i="11"/>
  <c r="AC1523" i="11"/>
  <c r="AC1522" i="11"/>
  <c r="AC1521" i="11"/>
  <c r="AC1520" i="11"/>
  <c r="AC1519" i="11"/>
  <c r="AC1518" i="11"/>
  <c r="AC1517" i="11"/>
  <c r="AC1516" i="11"/>
  <c r="AC1515" i="11"/>
  <c r="AC1514" i="11"/>
  <c r="AC1513" i="11"/>
  <c r="AC1512" i="11"/>
  <c r="AC1511" i="11"/>
  <c r="AC1510" i="11"/>
  <c r="AC1509" i="11"/>
  <c r="AC1508" i="11"/>
  <c r="AC1507" i="11"/>
  <c r="AC1506" i="11"/>
  <c r="AC1505" i="11"/>
  <c r="AD1487" i="11"/>
  <c r="AD1488" i="11"/>
  <c r="AD1489" i="11"/>
  <c r="AD1490" i="11"/>
  <c r="AD1491" i="11"/>
  <c r="AD1492" i="11"/>
  <c r="AD1493" i="11"/>
  <c r="AD1494" i="11"/>
  <c r="AD1495" i="11"/>
  <c r="AD1496" i="11"/>
  <c r="AD1497" i="11"/>
  <c r="AD1498" i="11"/>
  <c r="AD1499" i="11"/>
  <c r="AD1500" i="11"/>
  <c r="AD1501" i="11"/>
  <c r="AD1502" i="11"/>
  <c r="AD1503" i="11"/>
  <c r="AD1504" i="11"/>
  <c r="AC1504" i="11"/>
  <c r="AC1503" i="11"/>
  <c r="AC1502" i="11"/>
  <c r="AC1501" i="11"/>
  <c r="AC1500" i="11"/>
  <c r="AC1499" i="11"/>
  <c r="AC1498" i="11"/>
  <c r="AC1497" i="11"/>
  <c r="AC1496" i="11"/>
  <c r="AC1495" i="11"/>
  <c r="AC1494" i="11"/>
  <c r="AC1493" i="11"/>
  <c r="AC1492" i="11"/>
  <c r="AC1491" i="11"/>
  <c r="AC1490" i="11"/>
  <c r="AC1489" i="11"/>
  <c r="AC1488" i="11"/>
  <c r="AC1487" i="11"/>
  <c r="AD1483" i="11"/>
  <c r="AD1484" i="11"/>
  <c r="AD1485" i="11"/>
  <c r="AD1486" i="11"/>
  <c r="AC1486" i="11"/>
  <c r="AC1485" i="11"/>
  <c r="AC1484" i="11"/>
  <c r="AC1483" i="11"/>
  <c r="AD1482" i="11"/>
  <c r="AC1482" i="11"/>
  <c r="AD1481" i="11"/>
  <c r="AC1481" i="11"/>
  <c r="AD1480" i="11"/>
  <c r="AC1480" i="11"/>
  <c r="AD1479" i="11"/>
  <c r="AC1479" i="11"/>
  <c r="AD1478" i="11"/>
  <c r="AC1478" i="11"/>
  <c r="AD1477" i="11"/>
  <c r="AC1477" i="11"/>
  <c r="AD1476" i="11"/>
  <c r="AC1476" i="11"/>
  <c r="AD1475" i="11"/>
  <c r="AC1475" i="11"/>
  <c r="AD1474" i="11"/>
  <c r="AC1474" i="11"/>
  <c r="AD1473" i="11"/>
  <c r="AC1473" i="11"/>
  <c r="AD1472" i="11"/>
  <c r="AC1472" i="11"/>
  <c r="AD1471" i="11"/>
  <c r="AC1471" i="11"/>
  <c r="AD1470" i="11"/>
  <c r="AC1470" i="11"/>
  <c r="AD1469" i="11"/>
  <c r="AC1469" i="11"/>
  <c r="AD1468" i="11"/>
  <c r="AC1468" i="11"/>
  <c r="AD1467" i="11"/>
  <c r="AC1467" i="11"/>
  <c r="AD1466" i="11"/>
  <c r="AC1466" i="11"/>
  <c r="AD1465" i="11"/>
  <c r="AC1465" i="11"/>
  <c r="AD1464" i="11"/>
  <c r="AC1464" i="11"/>
  <c r="AD1463" i="11"/>
  <c r="AC1463" i="11"/>
  <c r="AD1462" i="11"/>
  <c r="AC1462" i="11"/>
  <c r="AD1461" i="11"/>
  <c r="AC1461" i="11"/>
  <c r="AD1460" i="11"/>
  <c r="AC1460" i="11"/>
  <c r="AD1459" i="11"/>
  <c r="AC1459" i="11"/>
  <c r="AD1458" i="11"/>
  <c r="AC1458" i="11"/>
  <c r="AD1457" i="11"/>
  <c r="AC1457" i="11"/>
  <c r="AD1456" i="11"/>
  <c r="AC1456" i="11"/>
  <c r="AD1455" i="11"/>
  <c r="AC1455" i="11"/>
  <c r="AD1454" i="11"/>
  <c r="AC1454" i="11"/>
  <c r="AC1453" i="11"/>
  <c r="AC1452" i="11"/>
  <c r="AC1451" i="11"/>
  <c r="AC1450" i="11"/>
  <c r="AC1449" i="11"/>
  <c r="AC1448" i="11"/>
  <c r="AC1447" i="11"/>
  <c r="AC1446" i="11"/>
  <c r="AC1445" i="11"/>
  <c r="AC1444" i="11"/>
  <c r="AC1443" i="11"/>
  <c r="AC1442" i="11"/>
  <c r="AC1441" i="11"/>
  <c r="AC1440" i="11"/>
  <c r="AC1439" i="11"/>
  <c r="AC1438" i="11"/>
  <c r="AC1437" i="11"/>
  <c r="AC1436" i="11"/>
  <c r="AC1435" i="11"/>
  <c r="AC1434" i="11"/>
  <c r="AC1433" i="11"/>
  <c r="AC1432" i="11"/>
  <c r="AC1431" i="11"/>
  <c r="AC1430" i="11"/>
  <c r="AC1429" i="11"/>
  <c r="AC1428" i="11"/>
  <c r="AC1427" i="11"/>
  <c r="AC1426" i="11"/>
  <c r="AC1423" i="11"/>
  <c r="AC1422" i="11"/>
  <c r="AC1421" i="11"/>
  <c r="AC1420" i="11"/>
  <c r="AC1419" i="11"/>
  <c r="AC1418" i="11"/>
  <c r="AC1417" i="11"/>
  <c r="AC1416" i="11"/>
  <c r="AC1415" i="11"/>
  <c r="AC1414" i="11"/>
  <c r="AC1413" i="11"/>
  <c r="AC1412" i="11"/>
  <c r="AC1411" i="11"/>
  <c r="AC1410" i="11"/>
  <c r="AC1409" i="11"/>
  <c r="AC1408" i="11"/>
  <c r="AC1407" i="11"/>
  <c r="AC1406" i="11"/>
  <c r="AC1405" i="11"/>
  <c r="AC1404" i="11"/>
  <c r="AC1403" i="11"/>
  <c r="AC1402" i="11"/>
  <c r="AC1401" i="11"/>
  <c r="AC1400" i="11"/>
  <c r="AC1399" i="11"/>
  <c r="AC1398" i="11"/>
  <c r="AC1397" i="11"/>
  <c r="AC1396" i="11"/>
  <c r="AC1395" i="11"/>
  <c r="AC1394" i="11"/>
  <c r="C12" i="8" l="1"/>
  <c r="D18" i="9" l="1"/>
  <c r="D17" i="9"/>
  <c r="G13" i="9" s="1"/>
  <c r="D16" i="9"/>
  <c r="H14" i="9" s="1"/>
  <c r="H15" i="9"/>
  <c r="D15" i="9"/>
  <c r="G14" i="9" s="1"/>
  <c r="D14" i="9"/>
  <c r="G12" i="9" s="1"/>
  <c r="H13" i="9"/>
  <c r="D12" i="9"/>
  <c r="G10" i="9" s="1"/>
  <c r="D11" i="9"/>
  <c r="G16" i="9" s="1"/>
  <c r="D10" i="9"/>
  <c r="H12" i="9" s="1"/>
  <c r="D9" i="9"/>
  <c r="G11" i="9" s="1"/>
  <c r="D8" i="9"/>
  <c r="H11" i="9" s="1"/>
  <c r="G9" i="9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W39" i="10"/>
  <c r="AB39" i="10" s="1"/>
  <c r="V39" i="10"/>
  <c r="AA39" i="10" s="1"/>
  <c r="U39" i="10"/>
  <c r="Z39" i="10" s="1"/>
  <c r="T39" i="10"/>
  <c r="Y39" i="10" s="1"/>
  <c r="S39" i="10"/>
  <c r="W38" i="10"/>
  <c r="AB38" i="10" s="1"/>
  <c r="V38" i="10"/>
  <c r="AA38" i="10" s="1"/>
  <c r="U38" i="10"/>
  <c r="Z38" i="10" s="1"/>
  <c r="T38" i="10"/>
  <c r="Y38" i="10" s="1"/>
  <c r="S38" i="10"/>
  <c r="W37" i="10"/>
  <c r="AB37" i="10" s="1"/>
  <c r="V37" i="10"/>
  <c r="AA37" i="10" s="1"/>
  <c r="U37" i="10"/>
  <c r="Z37" i="10" s="1"/>
  <c r="T37" i="10"/>
  <c r="Y37" i="10" s="1"/>
  <c r="S37" i="10"/>
  <c r="W36" i="10"/>
  <c r="AB36" i="10" s="1"/>
  <c r="V36" i="10"/>
  <c r="AA36" i="10" s="1"/>
  <c r="U36" i="10"/>
  <c r="Z36" i="10" s="1"/>
  <c r="T36" i="10"/>
  <c r="Y36" i="10" s="1"/>
  <c r="S36" i="10"/>
  <c r="W35" i="10"/>
  <c r="AB35" i="10" s="1"/>
  <c r="V35" i="10"/>
  <c r="AA35" i="10" s="1"/>
  <c r="U35" i="10"/>
  <c r="Z35" i="10" s="1"/>
  <c r="T35" i="10"/>
  <c r="Y35" i="10" s="1"/>
  <c r="S35" i="10"/>
  <c r="W34" i="10"/>
  <c r="AB34" i="10" s="1"/>
  <c r="V34" i="10"/>
  <c r="AA34" i="10" s="1"/>
  <c r="U34" i="10"/>
  <c r="Z34" i="10" s="1"/>
  <c r="T34" i="10"/>
  <c r="Y34" i="10" s="1"/>
  <c r="S34" i="10"/>
  <c r="W33" i="10"/>
  <c r="AB33" i="10" s="1"/>
  <c r="V33" i="10"/>
  <c r="AA33" i="10" s="1"/>
  <c r="U33" i="10"/>
  <c r="Z33" i="10" s="1"/>
  <c r="T33" i="10"/>
  <c r="Y33" i="10" s="1"/>
  <c r="S33" i="10"/>
  <c r="AB32" i="10"/>
  <c r="W32" i="10"/>
  <c r="V32" i="10"/>
  <c r="AA32" i="10" s="1"/>
  <c r="U32" i="10"/>
  <c r="Z32" i="10" s="1"/>
  <c r="T32" i="10"/>
  <c r="Y32" i="10" s="1"/>
  <c r="S32" i="10"/>
  <c r="W30" i="10"/>
  <c r="AB30" i="10" s="1"/>
  <c r="V30" i="10"/>
  <c r="AA30" i="10" s="1"/>
  <c r="U30" i="10"/>
  <c r="Z30" i="10" s="1"/>
  <c r="T30" i="10"/>
  <c r="Y30" i="10" s="1"/>
  <c r="S30" i="10"/>
  <c r="W29" i="10"/>
  <c r="AB29" i="10" s="1"/>
  <c r="V29" i="10"/>
  <c r="AA29" i="10" s="1"/>
  <c r="U29" i="10"/>
  <c r="Z29" i="10" s="1"/>
  <c r="T29" i="10"/>
  <c r="Y29" i="10" s="1"/>
  <c r="S29" i="10"/>
  <c r="W28" i="10"/>
  <c r="AB28" i="10" s="1"/>
  <c r="V28" i="10"/>
  <c r="AA28" i="10" s="1"/>
  <c r="U28" i="10"/>
  <c r="Z28" i="10" s="1"/>
  <c r="T28" i="10"/>
  <c r="Y28" i="10" s="1"/>
  <c r="S28" i="10"/>
  <c r="W27" i="10"/>
  <c r="AB27" i="10" s="1"/>
  <c r="V27" i="10"/>
  <c r="AA27" i="10" s="1"/>
  <c r="U27" i="10"/>
  <c r="Z27" i="10" s="1"/>
  <c r="T27" i="10"/>
  <c r="Y27" i="10" s="1"/>
  <c r="S27" i="10"/>
  <c r="W26" i="10"/>
  <c r="AB26" i="10" s="1"/>
  <c r="V26" i="10"/>
  <c r="AA26" i="10" s="1"/>
  <c r="U26" i="10"/>
  <c r="Z26" i="10" s="1"/>
  <c r="T26" i="10"/>
  <c r="Y26" i="10" s="1"/>
  <c r="S26" i="10"/>
  <c r="W25" i="10"/>
  <c r="AB25" i="10" s="1"/>
  <c r="V25" i="10"/>
  <c r="AA25" i="10" s="1"/>
  <c r="U25" i="10"/>
  <c r="Z25" i="10" s="1"/>
  <c r="T25" i="10"/>
  <c r="Y25" i="10" s="1"/>
  <c r="S25" i="10"/>
  <c r="W24" i="10"/>
  <c r="AB24" i="10" s="1"/>
  <c r="V24" i="10"/>
  <c r="AA24" i="10" s="1"/>
  <c r="U24" i="10"/>
  <c r="Z24" i="10" s="1"/>
  <c r="T24" i="10"/>
  <c r="Y24" i="10" s="1"/>
  <c r="S24" i="10"/>
  <c r="W23" i="10"/>
  <c r="AB23" i="10" s="1"/>
  <c r="V23" i="10"/>
  <c r="AA23" i="10" s="1"/>
  <c r="U23" i="10"/>
  <c r="Z23" i="10" s="1"/>
  <c r="T23" i="10"/>
  <c r="Y23" i="10" s="1"/>
  <c r="S23" i="10"/>
  <c r="W22" i="10"/>
  <c r="AB22" i="10" s="1"/>
  <c r="V22" i="10"/>
  <c r="AA22" i="10" s="1"/>
  <c r="U22" i="10"/>
  <c r="Z22" i="10" s="1"/>
  <c r="T22" i="10"/>
  <c r="Y22" i="10" s="1"/>
  <c r="S22" i="10"/>
  <c r="W21" i="10"/>
  <c r="AB21" i="10" s="1"/>
  <c r="V21" i="10"/>
  <c r="AA21" i="10" s="1"/>
  <c r="U21" i="10"/>
  <c r="Z21" i="10" s="1"/>
  <c r="T21" i="10"/>
  <c r="Y21" i="10" s="1"/>
  <c r="S21" i="10"/>
  <c r="W20" i="10"/>
  <c r="AB20" i="10" s="1"/>
  <c r="V20" i="10"/>
  <c r="AA20" i="10" s="1"/>
  <c r="U20" i="10"/>
  <c r="Z20" i="10" s="1"/>
  <c r="T20" i="10"/>
  <c r="Y20" i="10" s="1"/>
  <c r="S20" i="10"/>
  <c r="W19" i="10"/>
  <c r="AB19" i="10" s="1"/>
  <c r="V19" i="10"/>
  <c r="AA19" i="10" s="1"/>
  <c r="U19" i="10"/>
  <c r="Z19" i="10" s="1"/>
  <c r="T19" i="10"/>
  <c r="Y19" i="10" s="1"/>
  <c r="S19" i="10"/>
  <c r="W18" i="10"/>
  <c r="AB18" i="10" s="1"/>
  <c r="V18" i="10"/>
  <c r="AA18" i="10" s="1"/>
  <c r="U18" i="10"/>
  <c r="Z18" i="10" s="1"/>
  <c r="T18" i="10"/>
  <c r="Y18" i="10" s="1"/>
  <c r="S18" i="10"/>
  <c r="W16" i="10"/>
  <c r="AB16" i="10" s="1"/>
  <c r="V16" i="10"/>
  <c r="AA16" i="10" s="1"/>
  <c r="U16" i="10"/>
  <c r="Z16" i="10" s="1"/>
  <c r="T16" i="10"/>
  <c r="Y16" i="10" s="1"/>
  <c r="S16" i="10"/>
  <c r="W15" i="10"/>
  <c r="AB15" i="10" s="1"/>
  <c r="V15" i="10"/>
  <c r="AA15" i="10" s="1"/>
  <c r="U15" i="10"/>
  <c r="Z15" i="10" s="1"/>
  <c r="T15" i="10"/>
  <c r="Y15" i="10" s="1"/>
  <c r="S15" i="10"/>
  <c r="W14" i="10"/>
  <c r="AB14" i="10" s="1"/>
  <c r="V14" i="10"/>
  <c r="AA14" i="10" s="1"/>
  <c r="U14" i="10"/>
  <c r="Z14" i="10" s="1"/>
  <c r="T14" i="10"/>
  <c r="Y14" i="10" s="1"/>
  <c r="S14" i="10"/>
  <c r="W13" i="10"/>
  <c r="AB13" i="10" s="1"/>
  <c r="V13" i="10"/>
  <c r="AA13" i="10" s="1"/>
  <c r="U13" i="10"/>
  <c r="Z13" i="10" s="1"/>
  <c r="T13" i="10"/>
  <c r="Y13" i="10" s="1"/>
  <c r="S13" i="10"/>
  <c r="W12" i="10"/>
  <c r="AB12" i="10" s="1"/>
  <c r="V12" i="10"/>
  <c r="AA12" i="10" s="1"/>
  <c r="U12" i="10"/>
  <c r="Z12" i="10" s="1"/>
  <c r="T12" i="10"/>
  <c r="Y12" i="10" s="1"/>
  <c r="S12" i="10"/>
  <c r="AB11" i="10"/>
  <c r="AA11" i="10"/>
  <c r="W11" i="10"/>
  <c r="V11" i="10"/>
  <c r="U11" i="10"/>
  <c r="Z11" i="10" s="1"/>
  <c r="T11" i="10"/>
  <c r="Y11" i="10" s="1"/>
  <c r="S11" i="10"/>
  <c r="W10" i="10"/>
  <c r="AB10" i="10" s="1"/>
  <c r="V10" i="10"/>
  <c r="AA10" i="10" s="1"/>
  <c r="U10" i="10"/>
  <c r="Z10" i="10" s="1"/>
  <c r="T10" i="10"/>
  <c r="Y10" i="10" s="1"/>
  <c r="S10" i="10"/>
  <c r="W9" i="10"/>
  <c r="AB9" i="10" s="1"/>
  <c r="V9" i="10"/>
  <c r="AA9" i="10" s="1"/>
  <c r="U9" i="10"/>
  <c r="Z9" i="10" s="1"/>
  <c r="T9" i="10"/>
  <c r="Y9" i="10" s="1"/>
  <c r="S9" i="10"/>
  <c r="W8" i="10"/>
  <c r="AB8" i="10" s="1"/>
  <c r="V8" i="10"/>
  <c r="AA8" i="10" s="1"/>
  <c r="U8" i="10"/>
  <c r="Z8" i="10" s="1"/>
  <c r="T8" i="10"/>
  <c r="Y8" i="10" s="1"/>
  <c r="S8" i="10"/>
  <c r="W7" i="10"/>
  <c r="AB7" i="10" s="1"/>
  <c r="V7" i="10"/>
  <c r="AA7" i="10" s="1"/>
  <c r="U7" i="10"/>
  <c r="Z7" i="10" s="1"/>
  <c r="T7" i="10"/>
  <c r="Y7" i="10" s="1"/>
  <c r="S7" i="10"/>
  <c r="AB6" i="10"/>
  <c r="W6" i="10"/>
  <c r="V6" i="10"/>
  <c r="AA6" i="10" s="1"/>
  <c r="U6" i="10"/>
  <c r="Z6" i="10" s="1"/>
  <c r="T6" i="10"/>
  <c r="Y6" i="10" s="1"/>
  <c r="S6" i="10"/>
  <c r="W5" i="10"/>
  <c r="AB5" i="10" s="1"/>
  <c r="V5" i="10"/>
  <c r="AA5" i="10" s="1"/>
  <c r="U5" i="10"/>
  <c r="Z5" i="10" s="1"/>
  <c r="T5" i="10"/>
  <c r="Y5" i="10" s="1"/>
  <c r="S5" i="10"/>
  <c r="W4" i="10"/>
  <c r="AB4" i="10" s="1"/>
  <c r="V4" i="10"/>
  <c r="AA4" i="10" s="1"/>
  <c r="U4" i="10"/>
  <c r="Z4" i="10" s="1"/>
  <c r="T4" i="10"/>
  <c r="Y4" i="10" s="1"/>
  <c r="S4" i="10"/>
  <c r="E32" i="6"/>
  <c r="E31" i="6"/>
  <c r="E11" i="6"/>
  <c r="E10" i="6"/>
  <c r="E7" i="6"/>
  <c r="E6" i="6"/>
</calcChain>
</file>

<file path=xl/sharedStrings.xml><?xml version="1.0" encoding="utf-8"?>
<sst xmlns="http://schemas.openxmlformats.org/spreadsheetml/2006/main" count="33883" uniqueCount="4740">
  <si>
    <t>Фото</t>
  </si>
  <si>
    <t>URL</t>
  </si>
  <si>
    <t>ТекстНиз</t>
  </si>
  <si>
    <t>ТекстВерх</t>
  </si>
  <si>
    <t>Сорт</t>
  </si>
  <si>
    <t>Ф6</t>
  </si>
  <si>
    <t>Ф5</t>
  </si>
  <si>
    <t>Ф4</t>
  </si>
  <si>
    <t>Ф3</t>
  </si>
  <si>
    <t>Ф2</t>
  </si>
  <si>
    <t>Ф1</t>
  </si>
  <si>
    <t>К6</t>
  </si>
  <si>
    <t>К5</t>
  </si>
  <si>
    <t>К4</t>
  </si>
  <si>
    <t>К3</t>
  </si>
  <si>
    <t>К2</t>
  </si>
  <si>
    <t>К1</t>
  </si>
  <si>
    <t>Кпревью</t>
  </si>
  <si>
    <t>Раздел 4</t>
  </si>
  <si>
    <t>Раздел 3</t>
  </si>
  <si>
    <t>Раздел 2</t>
  </si>
  <si>
    <t>Раздел 1</t>
  </si>
  <si>
    <t>МРЦ
(от 500тр)4</t>
  </si>
  <si>
    <t>ОПТ
(300-500тр)3</t>
  </si>
  <si>
    <t>Мелкий ОПТ
(100-300тр)2</t>
  </si>
  <si>
    <t>Цена, руб. БЕЗ НДС
Розница (до 100тр)</t>
  </si>
  <si>
    <t>Дилер</t>
  </si>
  <si>
    <t>МРЦ
(от 500тр)</t>
  </si>
  <si>
    <t>ОПТ
(300-500тр)</t>
  </si>
  <si>
    <t>Мелкий ОПТ
(100-300тр)</t>
  </si>
  <si>
    <t>Цена, руб. с НДС 20%
Розница (до 100тр)</t>
  </si>
  <si>
    <t>На сайт</t>
  </si>
  <si>
    <t>Срок службы светодиодов</t>
  </si>
  <si>
    <t xml:space="preserve">Рабочая температура окр. среды </t>
  </si>
  <si>
    <t>Масса, кг</t>
  </si>
  <si>
    <t>Объем упаковки, куб.м</t>
  </si>
  <si>
    <t>Габариты Д/Ш/В, мм</t>
  </si>
  <si>
    <t>Крепление</t>
  </si>
  <si>
    <t>Корпус</t>
  </si>
  <si>
    <t>Климатическое исполнение</t>
  </si>
  <si>
    <t>Рабочий ток светодиода</t>
  </si>
  <si>
    <t>Светодиоды</t>
  </si>
  <si>
    <t>Индекс цветопередачи (CRI)</t>
  </si>
  <si>
    <t>Цветовая температура светодиода</t>
  </si>
  <si>
    <t>Пульсации светового потока, %</t>
  </si>
  <si>
    <t>Вторичная оптика/рассеиватель</t>
  </si>
  <si>
    <t>Класс защиты от поражения эл. током</t>
  </si>
  <si>
    <t>Источник питания</t>
  </si>
  <si>
    <t>Коэффициент мощности</t>
  </si>
  <si>
    <t>Напряжение питания</t>
  </si>
  <si>
    <t>Гарантия</t>
  </si>
  <si>
    <t>IP</t>
  </si>
  <si>
    <t>КСС</t>
  </si>
  <si>
    <t>Код товара</t>
  </si>
  <si>
    <t>Эфф., лм/Вт</t>
  </si>
  <si>
    <t>Мощн., Вт</t>
  </si>
  <si>
    <t>Поток, лм</t>
  </si>
  <si>
    <t>Артикул</t>
  </si>
  <si>
    <t>Серия</t>
  </si>
  <si>
    <t>-</t>
  </si>
  <si>
    <t>BOLID</t>
  </si>
  <si>
    <t>SVT-STR-Bolid-120W-45x140</t>
  </si>
  <si>
    <t>SB-00012909</t>
  </si>
  <si>
    <t>ШБ, 45x140</t>
  </si>
  <si>
    <t>6 лет</t>
  </si>
  <si>
    <t>100-305В АС, 50Гц</t>
  </si>
  <si>
    <t>MeanWell или иной по запросу</t>
  </si>
  <si>
    <t>I</t>
  </si>
  <si>
    <t xml:space="preserve">ПММА LEDiL </t>
  </si>
  <si>
    <t>&lt;5%</t>
  </si>
  <si>
    <t xml:space="preserve">5000К* - по умолчанию. </t>
  </si>
  <si>
    <t>Seoul Z5M4 112шт</t>
  </si>
  <si>
    <t>350 мА</t>
  </si>
  <si>
    <t>У1</t>
  </si>
  <si>
    <t>Литой экструдированный алюминиевый анодированный профиль</t>
  </si>
  <si>
    <t>Поворотный кронштейн</t>
  </si>
  <si>
    <t>364х300х210</t>
  </si>
  <si>
    <t>-40°/+40° С</t>
  </si>
  <si>
    <t>150 000 ч</t>
  </si>
  <si>
    <t>SVT-STR-Bolid-120W-30</t>
  </si>
  <si>
    <t>SB-00012910</t>
  </si>
  <si>
    <t>К, 30</t>
  </si>
  <si>
    <t>SVT-STR-Bolid-120W-60</t>
  </si>
  <si>
    <t>SB-00012911</t>
  </si>
  <si>
    <t>Г, 60</t>
  </si>
  <si>
    <t>SVT-STR-Bolid-180W-45x140</t>
  </si>
  <si>
    <t>SB-00012912</t>
  </si>
  <si>
    <t>Seoul Z5M4 168шт</t>
  </si>
  <si>
    <t>514х300х210</t>
  </si>
  <si>
    <t>SVT-STR-Bolid-180W-30</t>
  </si>
  <si>
    <t>SB-00012913</t>
  </si>
  <si>
    <t>SVT-STR-Bolid-180W-60</t>
  </si>
  <si>
    <t>SB-00012914</t>
  </si>
  <si>
    <t>SVT-STR-Bolid-240W-45x140</t>
  </si>
  <si>
    <t>SB-00012915</t>
  </si>
  <si>
    <t>Seoul Z5M4 224шт</t>
  </si>
  <si>
    <t>714х300х210</t>
  </si>
  <si>
    <t>SVT-STR-Bolid-240W-30</t>
  </si>
  <si>
    <t>SB-00012916</t>
  </si>
  <si>
    <t>SVT-STR-Bolid-240W-60</t>
  </si>
  <si>
    <t>SB-00012917</t>
  </si>
  <si>
    <t>Кассета 170лм/Вт</t>
  </si>
  <si>
    <t xml:space="preserve">Кассета </t>
  </si>
  <si>
    <t>SVT-STR-BM-30W-45x140</t>
  </si>
  <si>
    <t>SB-00010584</t>
  </si>
  <si>
    <t>5 лет</t>
  </si>
  <si>
    <t>176-264В АС, 50Гц</t>
  </si>
  <si>
    <t>Аргос/Трион с защитой от 380В или иной по запросу</t>
  </si>
  <si>
    <t>II</t>
  </si>
  <si>
    <t>&lt;1%</t>
  </si>
  <si>
    <t>Osram Duris S8 28шт</t>
  </si>
  <si>
    <t>175 мА</t>
  </si>
  <si>
    <t>Поворотный кронштейн с хомутом на трубу до 50.8мм</t>
  </si>
  <si>
    <t>204x108x192</t>
  </si>
  <si>
    <t>100 000 ч</t>
  </si>
  <si>
    <t>SVT-STR-BM-30W-30</t>
  </si>
  <si>
    <t>SB-00010585</t>
  </si>
  <si>
    <t>SVT-STR-BM-30W-60</t>
  </si>
  <si>
    <t>SB-00010586</t>
  </si>
  <si>
    <t>SVT-STR-BM-60W-45x140</t>
  </si>
  <si>
    <t>SB-00011846</t>
  </si>
  <si>
    <t>Osram Duris S8 56шт</t>
  </si>
  <si>
    <t>404x108x192</t>
  </si>
  <si>
    <t>SVT-STR-BM-60W-30</t>
  </si>
  <si>
    <t>SB-00011847</t>
  </si>
  <si>
    <t>SVT-STR-BM-60W-60</t>
  </si>
  <si>
    <t>SB-00010589</t>
  </si>
  <si>
    <t>SVT-STR-BM-90W-45x140</t>
  </si>
  <si>
    <t>SB-00010538</t>
  </si>
  <si>
    <t>Osram Duris S8 84шт</t>
  </si>
  <si>
    <t>604x108x192</t>
  </si>
  <si>
    <t>SVT-STR-BM-90W-30</t>
  </si>
  <si>
    <t>SB-00011850</t>
  </si>
  <si>
    <t>SVT-STR-BM-90W-60</t>
  </si>
  <si>
    <t>SB-00011851</t>
  </si>
  <si>
    <t>Модуль PRO</t>
  </si>
  <si>
    <t>SVT-STR-MPRO-32W</t>
  </si>
  <si>
    <t>SB-00008246</t>
  </si>
  <si>
    <t>Д, 120</t>
  </si>
  <si>
    <t>Стекло силикатное прозрачное</t>
  </si>
  <si>
    <t>Samsung LM281B+ 84 шт</t>
  </si>
  <si>
    <t>117мА</t>
  </si>
  <si>
    <t>УХЛ1</t>
  </si>
  <si>
    <t>236x97x145</t>
  </si>
  <si>
    <t xml:space="preserve"> -60°/+60° С</t>
  </si>
  <si>
    <t>SVT-STR-MPRO-48W</t>
  </si>
  <si>
    <t>SB-00008247</t>
  </si>
  <si>
    <t>Samsung LM281B+ 132 шт</t>
  </si>
  <si>
    <t>286x97x145</t>
  </si>
  <si>
    <t>SVT-STR-MPRO-61W</t>
  </si>
  <si>
    <t>SB-00008233</t>
  </si>
  <si>
    <t>Samsung LM281B+ 168 шт</t>
  </si>
  <si>
    <t>336x97x145</t>
  </si>
  <si>
    <t>SVT-STR-MPRO-96W</t>
  </si>
  <si>
    <t>SB-00007886</t>
  </si>
  <si>
    <t>Samsung LM281B+ 264 шт</t>
  </si>
  <si>
    <t>536x97x145</t>
  </si>
  <si>
    <t>Аргос/Трион (с защитой от 380В и грозозащитой)</t>
  </si>
  <si>
    <t>SVT-STR-MPRO-32W-C</t>
  </si>
  <si>
    <t>SB-00008250</t>
  </si>
  <si>
    <t>Консоль на трубу до 55мм</t>
  </si>
  <si>
    <t>236x97x134</t>
  </si>
  <si>
    <t>SVT-STR-MPRO-48W-C</t>
  </si>
  <si>
    <t>SB-00008251</t>
  </si>
  <si>
    <t>286x97x134</t>
  </si>
  <si>
    <t>SVT-STR-MPRO-61W-C</t>
  </si>
  <si>
    <t>SB-00008252</t>
  </si>
  <si>
    <t>336x97x134</t>
  </si>
  <si>
    <t>SVT-STR-MPRO-96W-C</t>
  </si>
  <si>
    <t>SB-00008248</t>
  </si>
  <si>
    <t>536x97x134</t>
  </si>
  <si>
    <t>SVT-STR-MPRO-27W-45x140-C</t>
  </si>
  <si>
    <t>SB-00008249</t>
  </si>
  <si>
    <t>Osram Duris S8 12шт</t>
  </si>
  <si>
    <t>350мА</t>
  </si>
  <si>
    <t>SVT-STR-MPRO-27W-20</t>
  </si>
  <si>
    <t>SB-00008258</t>
  </si>
  <si>
    <t>К, 20</t>
  </si>
  <si>
    <t>SVT-STR-MPRO-27W-35</t>
  </si>
  <si>
    <t>SB-00008259</t>
  </si>
  <si>
    <t>К, 35</t>
  </si>
  <si>
    <t>SVT-STR-MPRO-27W-65</t>
  </si>
  <si>
    <t>SB-00008260</t>
  </si>
  <si>
    <t>Г, 65</t>
  </si>
  <si>
    <t>SVT-STR-MPRO-27W-100</t>
  </si>
  <si>
    <t>SB-00008261</t>
  </si>
  <si>
    <t>Д, 100</t>
  </si>
  <si>
    <t>SVT-STR-MPRO-27W-30x120</t>
  </si>
  <si>
    <t>SB-00008262</t>
  </si>
  <si>
    <t>Овал 30x120</t>
  </si>
  <si>
    <t>SVT-STR-MPRO-27W-VSM</t>
  </si>
  <si>
    <t>SB-00008263</t>
  </si>
  <si>
    <t>Ш, 150</t>
  </si>
  <si>
    <t>SVT-STR-MPRO-27W-45x140</t>
  </si>
  <si>
    <t>SB-00008264</t>
  </si>
  <si>
    <t>SVT-STR-MPRO-53W-45x140-C</t>
  </si>
  <si>
    <t>SB-00008265</t>
  </si>
  <si>
    <t>Osram Duris S8 24шт</t>
  </si>
  <si>
    <t>436x97x134</t>
  </si>
  <si>
    <t>SVT-STR-MPRO-53W-20</t>
  </si>
  <si>
    <t>SB-00008266</t>
  </si>
  <si>
    <t>436x97x145</t>
  </si>
  <si>
    <t>SVT-STR-MPRO-53W-35</t>
  </si>
  <si>
    <t>SB-00008202</t>
  </si>
  <si>
    <t>SVT-STR-MPRO-53W-65</t>
  </si>
  <si>
    <t>SB-00008267</t>
  </si>
  <si>
    <t>SVT-STR-MPRO-53W-100</t>
  </si>
  <si>
    <t>SB-00008268</t>
  </si>
  <si>
    <t>SVT-STR-MPRO-53W-30x120</t>
  </si>
  <si>
    <t>SB-00008269</t>
  </si>
  <si>
    <t>SVT-STR-MPRO-53W-VSM</t>
  </si>
  <si>
    <t>SB-00008270</t>
  </si>
  <si>
    <t>SVT-STR-MPRO-53W-45x140</t>
  </si>
  <si>
    <t>SB-00008271</t>
  </si>
  <si>
    <t>SVT-STR-MPRO-79W-45x140-C</t>
  </si>
  <si>
    <t>SB-00007885</t>
  </si>
  <si>
    <t>Osram Duris S8 36шт</t>
  </si>
  <si>
    <t>636x97x134</t>
  </si>
  <si>
    <t>SVT-STR-MPRO-79W-20</t>
  </si>
  <si>
    <t>SB-00008272</t>
  </si>
  <si>
    <t>636x97x145</t>
  </si>
  <si>
    <t>SVT-STR-MPRO-79W-35</t>
  </si>
  <si>
    <t>SB-00008273</t>
  </si>
  <si>
    <t>SVT-STR-MPRO-79W-65</t>
  </si>
  <si>
    <t>SB-00008274</t>
  </si>
  <si>
    <t>SVT-STR-MPRO-79W-100</t>
  </si>
  <si>
    <t>SB-00008275</t>
  </si>
  <si>
    <t>SVT-STR-MPRO-79W-30x120</t>
  </si>
  <si>
    <t>SB-00008276</t>
  </si>
  <si>
    <t>SVT-STR-MPRO-79W-VSM</t>
  </si>
  <si>
    <t>SB-00008277</t>
  </si>
  <si>
    <t>SVT-STR-MPRO-79W-45x140</t>
  </si>
  <si>
    <t>SB-00008278</t>
  </si>
  <si>
    <t>SVT-STR-MPRO-102W-45x140-C</t>
  </si>
  <si>
    <t>SB-00007889</t>
  </si>
  <si>
    <t>Аргос (с защитой от 380В и грозозащитой)</t>
  </si>
  <si>
    <t>Osram Duris S8 48шт</t>
  </si>
  <si>
    <t>836x97x134</t>
  </si>
  <si>
    <t>SVT-STR-MPRO-102W-20</t>
  </si>
  <si>
    <t>SB-00008279</t>
  </si>
  <si>
    <t>836x97x145</t>
  </si>
  <si>
    <t>SVT-STR-MPRO-102W-35</t>
  </si>
  <si>
    <t>SB-00008222</t>
  </si>
  <si>
    <t>SVT-STR-MPRO-102W-65</t>
  </si>
  <si>
    <t>SB-00008280</t>
  </si>
  <si>
    <t>SVT-STR-MPRO-102W-100</t>
  </si>
  <si>
    <t>SB-00008281</t>
  </si>
  <si>
    <t>SVT-STR-MPRO-102W-30x120</t>
  </si>
  <si>
    <t>SB-00008282</t>
  </si>
  <si>
    <t>SVT-STR-MPRO-102W-VSM</t>
  </si>
  <si>
    <t>SB-00008283</t>
  </si>
  <si>
    <t>SVT-STR-MPRO-102W-45x140</t>
  </si>
  <si>
    <t>SB-00008284</t>
  </si>
  <si>
    <t>Цветовая темпратура 3000/4000К без удорожания. При 3000/4000К CRI80 - световой поток снижается на 7-15%. Подробности у менеджеров.</t>
  </si>
  <si>
    <t>Модуль PRO DUO-TRIO-QUATTRO</t>
  </si>
  <si>
    <t>SVT-STR-MPRO-61W-DUO</t>
  </si>
  <si>
    <t>SB-00009361</t>
  </si>
  <si>
    <t>Поворотная лира</t>
  </si>
  <si>
    <t>336x210x290</t>
  </si>
  <si>
    <t>SVT-STR-MPRO-61W-TRIO</t>
  </si>
  <si>
    <t>SB-00010236</t>
  </si>
  <si>
    <t>Samsung LM281B+ 3*168 шт</t>
  </si>
  <si>
    <t>336x320x290</t>
  </si>
  <si>
    <t>SVT-STR-MPRO-61W-QUATTRO</t>
  </si>
  <si>
    <t>SB-00010237</t>
  </si>
  <si>
    <t>Samsung LM281B+ 4*168 шт</t>
  </si>
  <si>
    <t>336x430x290</t>
  </si>
  <si>
    <t>SVT-STR-MPRO-96W-DUO</t>
  </si>
  <si>
    <t>SB-00008366</t>
  </si>
  <si>
    <t>Samsung LM281B+ 2*264 шт</t>
  </si>
  <si>
    <t>536x210x290</t>
  </si>
  <si>
    <t>SVT-STR-MPRO-96W-TRIO</t>
  </si>
  <si>
    <t>SB-00009100</t>
  </si>
  <si>
    <t>Samsung LM281B+ 3*264 шт</t>
  </si>
  <si>
    <t>536x320x290</t>
  </si>
  <si>
    <t>SVT-STR-MPRO-96W-QUATTRO</t>
  </si>
  <si>
    <t>SB-00010239</t>
  </si>
  <si>
    <t>Samsung LM281B+ 4*264 шт</t>
  </si>
  <si>
    <t>536x430x290</t>
  </si>
  <si>
    <t>SVT-STR-MPRO-79W-45x140-DUO-C</t>
  </si>
  <si>
    <t>SB-00010176</t>
  </si>
  <si>
    <t>Osram Duris S8 2*36шт</t>
  </si>
  <si>
    <t>636x256x90</t>
  </si>
  <si>
    <t>SVT-STR-MPRO-79W-20-DUO</t>
  </si>
  <si>
    <t>SB-00010177</t>
  </si>
  <si>
    <t>636x210x291</t>
  </si>
  <si>
    <t>SVT-STR-MPRO-79W-35-DUO</t>
  </si>
  <si>
    <t>SB-00010047</t>
  </si>
  <si>
    <t>SVT-STR-MPRO-79W-65-DUO</t>
  </si>
  <si>
    <t>SB-00010179</t>
  </si>
  <si>
    <t>SVT-STR-MPRO-79W-100-DUO</t>
  </si>
  <si>
    <t>SB-00010180</t>
  </si>
  <si>
    <t>SVT-STR-MPRO-79W-30x120-DUO</t>
  </si>
  <si>
    <t>SB-00010050</t>
  </si>
  <si>
    <t>SVT-STR-MPRO-79W-VSM-DUO</t>
  </si>
  <si>
    <t>SB-00010182</t>
  </si>
  <si>
    <t>SVT-STR-MPRO-79W-45x140-DUO</t>
  </si>
  <si>
    <t>SB-00009878</t>
  </si>
  <si>
    <t>SVT-STR-MPRO-102W-45x140-DUO-C</t>
  </si>
  <si>
    <t>SB-00010184</t>
  </si>
  <si>
    <t>Osram Duris S8 2*48шт</t>
  </si>
  <si>
    <t>836x256x90</t>
  </si>
  <si>
    <t>SVT-STR-MPRO-102W-20-DUO</t>
  </si>
  <si>
    <t>SB-00010185</t>
  </si>
  <si>
    <t>836x210x291</t>
  </si>
  <si>
    <t>SVT-STR-MPRO-102W-35-DUO</t>
  </si>
  <si>
    <t>SB-00010048</t>
  </si>
  <si>
    <t>SVT-STR-MPRO-102W-65-DUO</t>
  </si>
  <si>
    <t>SB-00009855</t>
  </si>
  <si>
    <t>SVT-STR-MPRO-102W-100-DUO</t>
  </si>
  <si>
    <t>SB-00010167</t>
  </si>
  <si>
    <t>SVT-STR-MPRO-102W-30x120-DUO</t>
  </si>
  <si>
    <t>SB-00010189</t>
  </si>
  <si>
    <t>SVT-STR-MPRO-102W-VSM-DUO</t>
  </si>
  <si>
    <t>SB-00010190</t>
  </si>
  <si>
    <t>SVT-STR-MPRO-102W-45x140-DUO</t>
  </si>
  <si>
    <t>SB-00009681</t>
  </si>
  <si>
    <t>SVT-STR-MPRO-79W-45x140-TRIO-C</t>
  </si>
  <si>
    <t>SB-00010192</t>
  </si>
  <si>
    <t>Osram Duris S8 3*36шт</t>
  </si>
  <si>
    <t>636x320x134</t>
  </si>
  <si>
    <t>SVT-STR-MPRO-79W-20-TRIO</t>
  </si>
  <si>
    <t>SB-00010193</t>
  </si>
  <si>
    <t>636x320x291</t>
  </si>
  <si>
    <t>SVT-STR-MPRO-79W-35-TRIO</t>
  </si>
  <si>
    <t>SB-00010194</t>
  </si>
  <si>
    <t>SVT-STR-MPRO-79W-65-TRIO</t>
  </si>
  <si>
    <t>SB-00010195</t>
  </si>
  <si>
    <t>SVT-STR-MPRO-79W-100-TRIO</t>
  </si>
  <si>
    <t>SB-00010196</t>
  </si>
  <si>
    <t>SVT-STR-MPRO-79W-30x120-TRIO</t>
  </si>
  <si>
    <t>SB-00010197</t>
  </si>
  <si>
    <t>SVT-STR-MPRO-79W-VSM-TRIO</t>
  </si>
  <si>
    <t>SB-00010198</t>
  </si>
  <si>
    <t>SVT-STR-MPRO-79W-45x140-TRIO</t>
  </si>
  <si>
    <t>SB-00010199</t>
  </si>
  <si>
    <t>SVT-STR-MPRO-102W-45x140-TRIO-C</t>
  </si>
  <si>
    <t>SB-00010200</t>
  </si>
  <si>
    <t>Osram Duris S8 3*48шт</t>
  </si>
  <si>
    <t>836x320x134</t>
  </si>
  <si>
    <t>SVT-STR-MPRO-102W-20-TRIO</t>
  </si>
  <si>
    <t>SB-00010201</t>
  </si>
  <si>
    <t>836x320x291</t>
  </si>
  <si>
    <t>SVT-STR-MPRO-102W-35-TRIO</t>
  </si>
  <si>
    <t>SB-00009112</t>
  </si>
  <si>
    <t>SVT-STR-MPRO-102W-65-TRIO</t>
  </si>
  <si>
    <t>SB-00010203</t>
  </si>
  <si>
    <t>SVT-STR-MPRO-102W-100-TRIO</t>
  </si>
  <si>
    <t>SB-00010204</t>
  </si>
  <si>
    <t>SVT-STR-MPRO-102W-30x120-TRIO</t>
  </si>
  <si>
    <t>SB-00010205</t>
  </si>
  <si>
    <t>SVT-STR-MPRO-102W-VSM-TRIO</t>
  </si>
  <si>
    <t>SB-00010206</t>
  </si>
  <si>
    <t>SVT-STR-MPRO-102W-45x140-TRIO</t>
  </si>
  <si>
    <t>SB-00009879</t>
  </si>
  <si>
    <t>SVT-STR-MPRO-79W-20-QUATTRO</t>
  </si>
  <si>
    <t>SB-00010208</t>
  </si>
  <si>
    <t>Osram Duris S8 4*48шт</t>
  </si>
  <si>
    <t>636x430x291</t>
  </si>
  <si>
    <t>SVT-STR-MPRO-79W-35-QUATTRO</t>
  </si>
  <si>
    <t>SB-00009679</t>
  </si>
  <si>
    <t>SVT-STR-MPRO-79W-65-QUATTRO</t>
  </si>
  <si>
    <t>SB-00010210</t>
  </si>
  <si>
    <t>SVT-STR-MPRO-79W-100-QUATTRO</t>
  </si>
  <si>
    <t>SB-00010211</t>
  </si>
  <si>
    <t>SVT-STR-MPRO-79W-30x120-QUATTRO</t>
  </si>
  <si>
    <t>SB-00010212</t>
  </si>
  <si>
    <t>SVT-STR-MPRO-79W-VSM-QUATTRO</t>
  </si>
  <si>
    <t>SB-00010213</t>
  </si>
  <si>
    <t>SVT-STR-MPRO-79W-45x140-QUATTRO</t>
  </si>
  <si>
    <t>SB-00010214</t>
  </si>
  <si>
    <t>SVT-STR-MPRO-102W-20-QUATTRO</t>
  </si>
  <si>
    <t>SB-00010215</t>
  </si>
  <si>
    <t>836x430x291</t>
  </si>
  <si>
    <t>SVT-STR-MPRO-102W-35-QUATTRO</t>
  </si>
  <si>
    <t>SB-00009677</t>
  </si>
  <si>
    <t>SVT-STR-MPRO-102W-65-QUATTRO</t>
  </si>
  <si>
    <t>SB-00010217</t>
  </si>
  <si>
    <t>SVT-STR-MPRO-102W-100-QUATTRO</t>
  </si>
  <si>
    <t>SB-00010218</t>
  </si>
  <si>
    <t>SVT-STR-MPRO-102W-30x120-QUATTRO</t>
  </si>
  <si>
    <t>SB-00010219</t>
  </si>
  <si>
    <t>SVT-STR-MPRO-102W-VSM-QUATTRO</t>
  </si>
  <si>
    <t>SB-00010220</t>
  </si>
  <si>
    <t>SVT-STR-MPRO-102W-45x140-QUATTRO</t>
  </si>
  <si>
    <t>SB-00010221</t>
  </si>
  <si>
    <t>Модуль PRO-Max</t>
  </si>
  <si>
    <t>SVT-STR-MPRO-Max-42W-20</t>
  </si>
  <si>
    <t>SB-00008762</t>
  </si>
  <si>
    <t>3 года</t>
  </si>
  <si>
    <t>525мА</t>
  </si>
  <si>
    <t>60 000 ч</t>
  </si>
  <si>
    <t>SVT-STR-MPRO-Max-42W-35</t>
  </si>
  <si>
    <t>SB-00008763</t>
  </si>
  <si>
    <t>SVT-STR-MPRO-Max-42W-65</t>
  </si>
  <si>
    <t>SB-00008764</t>
  </si>
  <si>
    <t>SVT-STR-MPRO-Max-42W-100</t>
  </si>
  <si>
    <t>SB-00008765</t>
  </si>
  <si>
    <t>SVT-STR-MPRO-Max-42W-30x120</t>
  </si>
  <si>
    <t>SB-00008766</t>
  </si>
  <si>
    <t>SVT-STR-MPRO-Max-42W-VSM</t>
  </si>
  <si>
    <t>SB-00008767</t>
  </si>
  <si>
    <t>SVT-STR-MPRO-Max-42W-45x140</t>
  </si>
  <si>
    <t>SB-00008768</t>
  </si>
  <si>
    <t>SVT-STR-MPRO-Max-42W-45x140-C</t>
  </si>
  <si>
    <t>SB-00008769</t>
  </si>
  <si>
    <t>SVT-STR-MPRO-Max-81W-20</t>
  </si>
  <si>
    <t>SB-00008770</t>
  </si>
  <si>
    <t>SVT-STR-MPRO-Max-81W-35</t>
  </si>
  <si>
    <t>SB-00008771</t>
  </si>
  <si>
    <t>SVT-STR-MPRO-Max-81W-65</t>
  </si>
  <si>
    <t>SB-00008772</t>
  </si>
  <si>
    <t>SVT-STR-MPRO-Max-81W-100</t>
  </si>
  <si>
    <t>SB-00008773</t>
  </si>
  <si>
    <t>SVT-STR-MPRO-Max-81W-30x120</t>
  </si>
  <si>
    <t>SB-00008774</t>
  </si>
  <si>
    <t>SVT-STR-MPRO-Max-81W-VSM</t>
  </si>
  <si>
    <t>SB-00008775</t>
  </si>
  <si>
    <t>SVT-STR-MPRO-Max-81W-45x140</t>
  </si>
  <si>
    <t>SB-00008776</t>
  </si>
  <si>
    <t>SVT-STR-MPRO-Max-81W-45x140-C</t>
  </si>
  <si>
    <t>SB-00008777</t>
  </si>
  <si>
    <t>SVT-STR-MPRO-Max-119W-20</t>
  </si>
  <si>
    <t>SB-00008778</t>
  </si>
  <si>
    <t>736x97x145</t>
  </si>
  <si>
    <t>SVT-STR-MPRO-Max-119W-35</t>
  </si>
  <si>
    <t>SB-00008779</t>
  </si>
  <si>
    <t>SVT-STR-MPRO-Max-119W-65</t>
  </si>
  <si>
    <t>SB-00008780</t>
  </si>
  <si>
    <t>SVT-STR-MPRO-Max-119W-100</t>
  </si>
  <si>
    <t>SB-00008781</t>
  </si>
  <si>
    <t>SVT-STR-MPRO-Max-119W-30x120</t>
  </si>
  <si>
    <t>SB-00008782</t>
  </si>
  <si>
    <t>SVT-STR-MPRO-Max-119W-VSM</t>
  </si>
  <si>
    <t>SB-00008783</t>
  </si>
  <si>
    <t>SVT-STR-MPRO-Max-119W-45x140</t>
  </si>
  <si>
    <t>SB-00008784</t>
  </si>
  <si>
    <t>SVT-STR-MPRO-Max-119W-45x140-C</t>
  </si>
  <si>
    <t>SB-00008785</t>
  </si>
  <si>
    <t>736x97x134</t>
  </si>
  <si>
    <t>SVT-STR-MPRO-Max-155W-20</t>
  </si>
  <si>
    <t>SB-00008786</t>
  </si>
  <si>
    <t>936x97x145</t>
  </si>
  <si>
    <t>SVT-STR-MPRO-Max-155W-35</t>
  </si>
  <si>
    <t>SB-00008787</t>
  </si>
  <si>
    <t>SVT-STR-MPRO-Max-155W-65</t>
  </si>
  <si>
    <t>SB-00008788</t>
  </si>
  <si>
    <t>SVT-STR-MPRO-Max-155W-100</t>
  </si>
  <si>
    <t>SB-00008789</t>
  </si>
  <si>
    <t>SVT-STR-MPRO-Max-155W-30x120</t>
  </si>
  <si>
    <t>SB-00008790</t>
  </si>
  <si>
    <t>SVT-STR-MPRO-Max-155W-VSM</t>
  </si>
  <si>
    <t>SB-00008791</t>
  </si>
  <si>
    <t>SVT-STR-MPRO-Max-155W-45x140</t>
  </si>
  <si>
    <t>SB-00008792</t>
  </si>
  <si>
    <t>SVT-STR-MPRO-Max-155W-45x140-C</t>
  </si>
  <si>
    <t>SB-00008793</t>
  </si>
  <si>
    <t>936x97x134</t>
  </si>
  <si>
    <t>SVT-STR-MPRO-Max-119W-20-DUO</t>
  </si>
  <si>
    <t>SB-00008812</t>
  </si>
  <si>
    <t>736x210x291</t>
  </si>
  <si>
    <t>SVT-STR-MPRO-Max-119W-35-DUO</t>
  </si>
  <si>
    <t>SB-00008813</t>
  </si>
  <si>
    <t>SVT-STR-MPRO-Max-119W-65-DUO</t>
  </si>
  <si>
    <t>SB-00008814</t>
  </si>
  <si>
    <t>SVT-STR-MPRO-Max-119W-45x140-DUO</t>
  </si>
  <si>
    <t>SB-00013182</t>
  </si>
  <si>
    <t>SVT-STR-MPRO-Max-119W-20-TRIO</t>
  </si>
  <si>
    <t>SB-00008815</t>
  </si>
  <si>
    <t>736x320x291</t>
  </si>
  <si>
    <t>SVT-STR-MPRO-Max-119W-35-TRIO</t>
  </si>
  <si>
    <t>SB-00008816</t>
  </si>
  <si>
    <t>SVT-STR-MPRO-Max-119W-65-TRIO</t>
  </si>
  <si>
    <t>SB-00008817</t>
  </si>
  <si>
    <t>SVT-STR-MPRO-Max-119W-45x140-TRIO</t>
  </si>
  <si>
    <t>SB-00013183</t>
  </si>
  <si>
    <t>SVT-STR-MPRO-Max-155W-20-DUO</t>
  </si>
  <si>
    <t>SB-00008821</t>
  </si>
  <si>
    <t>936x210x291</t>
  </si>
  <si>
    <t>SVT-STR-MPRO-Max-155W-35-DUO</t>
  </si>
  <si>
    <t>SB-00008822</t>
  </si>
  <si>
    <t>SVT-STR-MPRO-Max-155W-65-DUO</t>
  </si>
  <si>
    <t>SB-00008823</t>
  </si>
  <si>
    <t>SVT-STR-MPRO-Max-155W-45x140-DUO</t>
  </si>
  <si>
    <t>SB-00013184</t>
  </si>
  <si>
    <t>SVT-STR-MPRO-Max-155W-20-TRIO</t>
  </si>
  <si>
    <t>SB-00008824</t>
  </si>
  <si>
    <t>936x320x291</t>
  </si>
  <si>
    <t>SVT-STR-MPRO-Max-155W-35-TRIO</t>
  </si>
  <si>
    <t>SB-00008825</t>
  </si>
  <si>
    <t>SVT-STR-MPRO-Max-155W-65-TRIO</t>
  </si>
  <si>
    <t>SB-00008826</t>
  </si>
  <si>
    <t>SVT-STR-MPRO-Max-155W-45x140-TRIO</t>
  </si>
  <si>
    <t>SB-00013185</t>
  </si>
  <si>
    <t>SVT-STR-MPRO-Max-155W-20-QUATTRO</t>
  </si>
  <si>
    <t>SB-00008827</t>
  </si>
  <si>
    <t>936x430x291</t>
  </si>
  <si>
    <t>SVT-STR-MPRO-Max-155W-35-QUATTRO</t>
  </si>
  <si>
    <t>SB-00008828</t>
  </si>
  <si>
    <t>SVT-STR-MPRO-Max-155W-65-QUATTRO</t>
  </si>
  <si>
    <t>SB-00008829</t>
  </si>
  <si>
    <t>SVT-STR-MPRO-Max-155W-45x140-QUATTRO</t>
  </si>
  <si>
    <t>SB-00013186</t>
  </si>
  <si>
    <t>Модуль PRO MeanWell</t>
  </si>
  <si>
    <t>SVT-STR-MPRO-46W (MW)</t>
  </si>
  <si>
    <t>SB-00008285</t>
  </si>
  <si>
    <t>MeanWell</t>
  </si>
  <si>
    <t>SVT-STR-MPRO-58W (MW)</t>
  </si>
  <si>
    <t>SB-00008193</t>
  </si>
  <si>
    <t>SVT-STR-MPRO-91W (MW)</t>
  </si>
  <si>
    <t>SB-00008108</t>
  </si>
  <si>
    <t>SVT-STR-MPRO-46W-C (MW)</t>
  </si>
  <si>
    <t>SB-00008286</t>
  </si>
  <si>
    <t>SVT-STR-MPRO-58W-C (MW)</t>
  </si>
  <si>
    <t>SB-00008287</t>
  </si>
  <si>
    <t>SVT-STR-MPRO-91W-C (MW)</t>
  </si>
  <si>
    <t>SB-00008288</t>
  </si>
  <si>
    <t>SVT-STR-MPRO-50W-45x140-C (MW)</t>
  </si>
  <si>
    <t>SB-00008289</t>
  </si>
  <si>
    <t>SVT-STR-MPRO-50W-20 (MW)</t>
  </si>
  <si>
    <t>SB-00008290</t>
  </si>
  <si>
    <t>SVT-STR-MPRO-50W-35 (MW)</t>
  </si>
  <si>
    <t>SB-00008291</t>
  </si>
  <si>
    <t>SVT-STR-MPRO-50W-65 (MW)</t>
  </si>
  <si>
    <t>SB-00008292</t>
  </si>
  <si>
    <t>SVT-STR-MPRO-50W-100 (MW)</t>
  </si>
  <si>
    <t>SB-00008293</t>
  </si>
  <si>
    <t>SVT-STR-MPRO-50W-30x120 (MW)</t>
  </si>
  <si>
    <t>SB-00008294</t>
  </si>
  <si>
    <t>SVT-STR-MPRO-50W-VSM (MW)</t>
  </si>
  <si>
    <t>SB-00008295</t>
  </si>
  <si>
    <t>SVT-STR-MPRO-50W-45x140 (MW)</t>
  </si>
  <si>
    <t>SB-00008296</t>
  </si>
  <si>
    <t>SVT-STR-MPRO-75W-45x140-C (MW)</t>
  </si>
  <si>
    <t>SB-00008297</t>
  </si>
  <si>
    <t>SVT-STR-MPRO-75W-20 (MW)</t>
  </si>
  <si>
    <t>SB-00008298</t>
  </si>
  <si>
    <t>SVT-STR-MPRO-75W-35 (MW)</t>
  </si>
  <si>
    <t>SB-00008019</t>
  </si>
  <si>
    <t>SVT-STR-MPRO-75W-65 (MW)</t>
  </si>
  <si>
    <t>SB-00008299</t>
  </si>
  <si>
    <t>SVT-STR-MPRO-75W-100 (MW)</t>
  </si>
  <si>
    <t>SB-00008300</t>
  </si>
  <si>
    <t>SVT-STR-MPRO-75W-30x120 (MW)</t>
  </si>
  <si>
    <t>SB-00008301</t>
  </si>
  <si>
    <t>SVT-STR-MPRO-75W-VSM (MW)</t>
  </si>
  <si>
    <t>SB-00008302</t>
  </si>
  <si>
    <t>SVT-STR-MPRO-75W-45x140 (MW)</t>
  </si>
  <si>
    <t>SB-00008303</t>
  </si>
  <si>
    <t>SVT-STR-MPRO-100W-45x140-C (MW)</t>
  </si>
  <si>
    <t>SB-00008304</t>
  </si>
  <si>
    <t>SVT-STR-MPRO-100W-20 (MW)</t>
  </si>
  <si>
    <t>SB-00008305</t>
  </si>
  <si>
    <t>SVT-STR-MPRO-100W-35 (MW)</t>
  </si>
  <si>
    <t>SB-00008306</t>
  </si>
  <si>
    <t>SVT-STR-MPRO-100W-65 (MW)</t>
  </si>
  <si>
    <t>SB-00008307</t>
  </si>
  <si>
    <t>SVT-STR-MPRO-100W-100 (MW)</t>
  </si>
  <si>
    <t>SB-00008308</t>
  </si>
  <si>
    <t>SVT-STR-MPRO-100W-30x120 (MW)</t>
  </si>
  <si>
    <t>SB-00008309</t>
  </si>
  <si>
    <t>SVT-STR-MPRO-100W-VSM (MW)</t>
  </si>
  <si>
    <t>SB-00008310</t>
  </si>
  <si>
    <t>SVT-STR-MPRO-100W-45x140 (MW)</t>
  </si>
  <si>
    <t>SB-00008311</t>
  </si>
  <si>
    <t>Модуль</t>
  </si>
  <si>
    <t>SVT-STR-M-16W</t>
  </si>
  <si>
    <t>SB-00005806</t>
  </si>
  <si>
    <t>Аргос/Трион или иной по запросу</t>
  </si>
  <si>
    <t>58мА</t>
  </si>
  <si>
    <t>210х100х130</t>
  </si>
  <si>
    <t>SVT-STR-M-24W</t>
  </si>
  <si>
    <t>SB-00014330</t>
  </si>
  <si>
    <t>Samsung LM281B+ 60 шт</t>
  </si>
  <si>
    <t>SVT-STR-M-32W</t>
  </si>
  <si>
    <t>SB-00005215</t>
  </si>
  <si>
    <t>SVT-STR-M-48W</t>
  </si>
  <si>
    <t>SB-00005452</t>
  </si>
  <si>
    <t>260х100х130</t>
  </si>
  <si>
    <t>SVT-STR-M-61W</t>
  </si>
  <si>
    <t>SB-00005453</t>
  </si>
  <si>
    <t>310х100х130</t>
  </si>
  <si>
    <t>SVT-STR-M-16W (с защитой от 380)</t>
  </si>
  <si>
    <t>SB-00014331</t>
  </si>
  <si>
    <t>SVT-STR-M-24W (с защитой от 380)</t>
  </si>
  <si>
    <t>SB-00014333</t>
  </si>
  <si>
    <t>SVT-STR-M-32W (с защитой от 380)</t>
  </si>
  <si>
    <t>SB-00008426</t>
  </si>
  <si>
    <t>SVT-STR-M-48W (с защитой от 380)</t>
  </si>
  <si>
    <t>SB-00008427</t>
  </si>
  <si>
    <t>SVT-STR-M-61W (с защитой от 380)</t>
  </si>
  <si>
    <t>SB-00008428</t>
  </si>
  <si>
    <t>SVT-STR-M-80W</t>
  </si>
  <si>
    <t>SB-00014211</t>
  </si>
  <si>
    <t>Samsung LM281B+ 216 шт</t>
  </si>
  <si>
    <t>460х100х130</t>
  </si>
  <si>
    <t>SVT-STR-M-96W</t>
  </si>
  <si>
    <t>SB-00005451</t>
  </si>
  <si>
    <t>510х100х130</t>
  </si>
  <si>
    <t>SVT-STR-M-96W-MW</t>
  </si>
  <si>
    <t>SB-00009131</t>
  </si>
  <si>
    <t>SVT-STR-M-16W-C</t>
  </si>
  <si>
    <t>SB-00014334</t>
  </si>
  <si>
    <t>210х100х125</t>
  </si>
  <si>
    <t>SVT-STR-M-24W-C</t>
  </si>
  <si>
    <t>SB-00014335</t>
  </si>
  <si>
    <t>SVT-STR-M-32W-C</t>
  </si>
  <si>
    <t>SB-00005219</t>
  </si>
  <si>
    <t>SVT-STR-M-48W-C</t>
  </si>
  <si>
    <t>SB-00005575</t>
  </si>
  <si>
    <t>260х100х125</t>
  </si>
  <si>
    <t>SVT-STR-M-61W-C</t>
  </si>
  <si>
    <t>SB-00005532</t>
  </si>
  <si>
    <t>310х100х125</t>
  </si>
  <si>
    <t>SVT-STR-M-16W-C (с защитой от 380)</t>
  </si>
  <si>
    <t>SB-00009762</t>
  </si>
  <si>
    <t>SVT-STR-M-24W-C (с защитой от 380)</t>
  </si>
  <si>
    <t>SB-00014337</t>
  </si>
  <si>
    <t>SVT-STR-M-32W-C (с защитой от 380)</t>
  </si>
  <si>
    <t>SB-00008429</t>
  </si>
  <si>
    <t>SVT-STR-M-48W-C (с защитой от 380)</t>
  </si>
  <si>
    <t>SB-00008430</t>
  </si>
  <si>
    <t>SVT-STR-M-61W-C (с защитой от 380)</t>
  </si>
  <si>
    <t>SB-00008431</t>
  </si>
  <si>
    <t>SVT-STR-M-80W-C</t>
  </si>
  <si>
    <t>SB-00014338</t>
  </si>
  <si>
    <t>SVT-STR-M-96W-C</t>
  </si>
  <si>
    <t>SB-00005533</t>
  </si>
  <si>
    <t>510х100х125</t>
  </si>
  <si>
    <t>SVT-STR-M-96W-MW-C</t>
  </si>
  <si>
    <t>SB-00009132</t>
  </si>
  <si>
    <t>Модули ДУО-ТРИО-КВАТРО-ПЕНТА</t>
  </si>
  <si>
    <t>SVT-STR-M-32W-DUO</t>
  </si>
  <si>
    <t>SB-00005289</t>
  </si>
  <si>
    <t>Samsung LM281B+ 168шт</t>
  </si>
  <si>
    <t>230х210х130</t>
  </si>
  <si>
    <t>SVT-STR-M-32W-DUO-C</t>
  </si>
  <si>
    <t>SB-00005290</t>
  </si>
  <si>
    <t>230x262x75</t>
  </si>
  <si>
    <t>SVT-STR-M-32W-DUO90</t>
  </si>
  <si>
    <t>SB-00005291</t>
  </si>
  <si>
    <t>Л, 140</t>
  </si>
  <si>
    <t>SVT-STR-M-32W-DUO90-C</t>
  </si>
  <si>
    <t>SB-00005292</t>
  </si>
  <si>
    <t>230x158x158</t>
  </si>
  <si>
    <t>SVT-STR-M-32W-TRIO</t>
  </si>
  <si>
    <t>SB-00005293</t>
  </si>
  <si>
    <t>Samsung LM281B+ 252шт</t>
  </si>
  <si>
    <t>230х310х130</t>
  </si>
  <si>
    <t>SVT-STR-M-32W-TRIO-C</t>
  </si>
  <si>
    <t>SB-00005294</t>
  </si>
  <si>
    <t>SVT-STR-M-32W-TRIO90</t>
  </si>
  <si>
    <t>SB-00005295</t>
  </si>
  <si>
    <t>SVT-STR-M-32W-TRIO90-C</t>
  </si>
  <si>
    <t>SB-00005296</t>
  </si>
  <si>
    <t>230x258x158</t>
  </si>
  <si>
    <t>SVT-STR-M-48W-DUO</t>
  </si>
  <si>
    <t>SB-00005553</t>
  </si>
  <si>
    <t>Samsung LM281B+ 264шт</t>
  </si>
  <si>
    <t>250х210х130</t>
  </si>
  <si>
    <t>SVT-STR-M-48W-DUO-C</t>
  </si>
  <si>
    <t>SB-00005636</t>
  </si>
  <si>
    <t>280x262x75</t>
  </si>
  <si>
    <t>SVT-STR-M-48W-DUO90</t>
  </si>
  <si>
    <t>SB-00006511</t>
  </si>
  <si>
    <t>280х210х130</t>
  </si>
  <si>
    <t>SVT-STR-M-48W-DUO90-C</t>
  </si>
  <si>
    <t>SB-00005530</t>
  </si>
  <si>
    <t>280x158x158</t>
  </si>
  <si>
    <t>SVT-STR-M-48W-TRIO</t>
  </si>
  <si>
    <t>SB-00005875</t>
  </si>
  <si>
    <t>Samsung LM281B+ 396шт</t>
  </si>
  <si>
    <t>250х320х130</t>
  </si>
  <si>
    <t>SVT-STR-M-48W-TRIO-C</t>
  </si>
  <si>
    <t>SB-00005637</t>
  </si>
  <si>
    <t>280x310x130</t>
  </si>
  <si>
    <t>SVT-STR-M-48W-TRIO90</t>
  </si>
  <si>
    <t>SB-00006113</t>
  </si>
  <si>
    <t>280х310х130</t>
  </si>
  <si>
    <t>SVT-STR-M-48W-TRIO90-C</t>
  </si>
  <si>
    <t>SB-00006514</t>
  </si>
  <si>
    <t>280x258x158</t>
  </si>
  <si>
    <t>SVT-STR-M-61W-DUO</t>
  </si>
  <si>
    <t>SB-00005576</t>
  </si>
  <si>
    <t>Samsung LM281B+ 336шт</t>
  </si>
  <si>
    <t>Поворотная лира (опц. хомут на трубу до 50.8мм)</t>
  </si>
  <si>
    <t>300х210х130</t>
  </si>
  <si>
    <t>SVT-STR-M-61W-DUO-C</t>
  </si>
  <si>
    <t>SB-00005610</t>
  </si>
  <si>
    <t>310x262x75</t>
  </si>
  <si>
    <t>SVT-STR-M-61W-DUO90</t>
  </si>
  <si>
    <t>SB-00006515</t>
  </si>
  <si>
    <t>310х210х130</t>
  </si>
  <si>
    <t>SVT-STR-M-61W-DUO90-C</t>
  </si>
  <si>
    <t>SB-00006516</t>
  </si>
  <si>
    <t>310x158x158</t>
  </si>
  <si>
    <t>SVT-STR-M-61W-TRIO</t>
  </si>
  <si>
    <t>SB-00005572</t>
  </si>
  <si>
    <t>Samsung LM281B+ 504шт</t>
  </si>
  <si>
    <t>300х320х276</t>
  </si>
  <si>
    <t>SVT-STR-M-61W-TRIO-C</t>
  </si>
  <si>
    <t>SB-00006517</t>
  </si>
  <si>
    <t>310х310х130</t>
  </si>
  <si>
    <t>SVT-STR-M-61W-TRIO90</t>
  </si>
  <si>
    <t>SB-00006518</t>
  </si>
  <si>
    <t>SVT-STR-M-61W-TRIO90-C</t>
  </si>
  <si>
    <t>SB-00006112</t>
  </si>
  <si>
    <t>310x258x158</t>
  </si>
  <si>
    <t>SVT-STR-M-32W-DUO (с защитой от 380)</t>
  </si>
  <si>
    <t>SB-00008432</t>
  </si>
  <si>
    <t>SVT-STR-M-32W-DUO-C (с защитой от 380)</t>
  </si>
  <si>
    <t>SB-00008433</t>
  </si>
  <si>
    <t>SVT-STR-M-32W-DUO90 (с защитой от 380)</t>
  </si>
  <si>
    <t>SB-00008434</t>
  </si>
  <si>
    <t>SVT-STR-M-32W-DUO90-C (с защитой от 380)</t>
  </si>
  <si>
    <t>SB-00008435</t>
  </si>
  <si>
    <t>SVT-STR-M-32W-TRIO (с защитой от 380)</t>
  </si>
  <si>
    <t>SB-00008436</t>
  </si>
  <si>
    <t>SVT-STR-M-32W-TRIO-C (с защитой от 380)</t>
  </si>
  <si>
    <t>SB-00008437</t>
  </si>
  <si>
    <t>SVT-STR-M-32W-TRIO90 (с защитой от 380)</t>
  </si>
  <si>
    <t>SB-00008438</t>
  </si>
  <si>
    <t>SVT-STR-M-32W-TRIO90-C (с защитой от 380)</t>
  </si>
  <si>
    <t>SB-00008439</t>
  </si>
  <si>
    <t>SVT-STR-M-48W-DUO (с защитой от 380)</t>
  </si>
  <si>
    <t>SB-00008440</t>
  </si>
  <si>
    <t>250х210х276*</t>
  </si>
  <si>
    <t>SVT-STR-M-48W-DUO-C (с защитой от 380)</t>
  </si>
  <si>
    <t>SB-00008441</t>
  </si>
  <si>
    <t>SVT-STR-M-48W-DUO90 (с защитой от 380)</t>
  </si>
  <si>
    <t>SB-00008442</t>
  </si>
  <si>
    <t>SVT-STR-M-48W-DUO90-C (с защитой от 380)</t>
  </si>
  <si>
    <t>SB-00008443</t>
  </si>
  <si>
    <t>SVT-STR-M-48W-TRIO (с защитой от 380)</t>
  </si>
  <si>
    <t>SB-00008444</t>
  </si>
  <si>
    <t>250х320х276*</t>
  </si>
  <si>
    <t>SVT-STR-M-48W-TRIO-C (с защитой от 380)</t>
  </si>
  <si>
    <t>SB-00008445</t>
  </si>
  <si>
    <t>SVT-STR-M-48W-TRIO90 (с защитой от 380)</t>
  </si>
  <si>
    <t>SB-00008446</t>
  </si>
  <si>
    <t>SVT-STR-M-48W-TRIO90-C (с защитой от 380)</t>
  </si>
  <si>
    <t>SB-00008447</t>
  </si>
  <si>
    <t>SVT-STR-M-61W-DUO (с защитой от 380)</t>
  </si>
  <si>
    <t>SB-00008450</t>
  </si>
  <si>
    <t>300х210х276*</t>
  </si>
  <si>
    <t>SVT-STR-M-61W-DUO-C (с защитой от 380)</t>
  </si>
  <si>
    <t>SB-00008451</t>
  </si>
  <si>
    <t>SVT-STR-M-61W-DUO90 (с защитой от 380)</t>
  </si>
  <si>
    <t>SB-00008452</t>
  </si>
  <si>
    <t>SVT-STR-M-61W-DUO90-C (с защитой от 380)</t>
  </si>
  <si>
    <t>SB-00008453</t>
  </si>
  <si>
    <t>SVT-STR-M-61W-TRIO (с защитой от 380)</t>
  </si>
  <si>
    <t>SB-00008454</t>
  </si>
  <si>
    <t>SVT-STR-M-61W-TRIO-C (с защитой от 380)</t>
  </si>
  <si>
    <t>SB-00008455</t>
  </si>
  <si>
    <t>SVT-STR-M-61W-TRIO90 (с защитой от 380)</t>
  </si>
  <si>
    <t>SB-00008456</t>
  </si>
  <si>
    <t>SVT-STR-M-61W-TRIO90-C (с защитой от 380)</t>
  </si>
  <si>
    <t>SB-00008457</t>
  </si>
  <si>
    <t>SVT-STR-M-96W-DUO</t>
  </si>
  <si>
    <t>SB-00005577</t>
  </si>
  <si>
    <t>Samsung LM281B+ 528шт</t>
  </si>
  <si>
    <t>Поворотная лира (опционально хомут на трубу до 50.8мм или рым-болты для подвеса)</t>
  </si>
  <si>
    <t>SVT-STR-M-96W-DUO-C</t>
  </si>
  <si>
    <t>SB-00006111</t>
  </si>
  <si>
    <t>510x262x75</t>
  </si>
  <si>
    <t>SVT-STR-M-96W-DUO90-C</t>
  </si>
  <si>
    <t>SB-00005784</t>
  </si>
  <si>
    <t>510x158x158</t>
  </si>
  <si>
    <t>SVT-STR-M-96W-TRIO</t>
  </si>
  <si>
    <t>SB-00006004</t>
  </si>
  <si>
    <t>Samsung LM281B+ 792шт</t>
  </si>
  <si>
    <t>510x320x276</t>
  </si>
  <si>
    <t>SVT-STR-M-96W-TRIO-C</t>
  </si>
  <si>
    <t>SB-00005686</t>
  </si>
  <si>
    <t>510x310x130</t>
  </si>
  <si>
    <t>SVT-STR-M-96W-QUATTRO</t>
  </si>
  <si>
    <t>SB-00008080</t>
  </si>
  <si>
    <t>Samsung LM281B+ 1056шт</t>
  </si>
  <si>
    <t>510x430x276</t>
  </si>
  <si>
    <t>SVT-STR-M-96W-PENTA</t>
  </si>
  <si>
    <t>SB-00008182</t>
  </si>
  <si>
    <t>Samsung LM281B+ 1320шт</t>
  </si>
  <si>
    <t>510x540x276</t>
  </si>
  <si>
    <t>Модуль с оптикой</t>
  </si>
  <si>
    <t>SVT-STR-M-27W-20</t>
  </si>
  <si>
    <t>SB-00013412</t>
  </si>
  <si>
    <t>200х100х130</t>
  </si>
  <si>
    <t>SVT-STR-M-27W-35</t>
  </si>
  <si>
    <t>SB-00013413</t>
  </si>
  <si>
    <t>SVT-STR-M-27W-65</t>
  </si>
  <si>
    <t>SB-00013414</t>
  </si>
  <si>
    <t>SVT-STR-M-27W-100</t>
  </si>
  <si>
    <t>SB-00005664</t>
  </si>
  <si>
    <t>SVT-STR-M-27W-30x120</t>
  </si>
  <si>
    <t>SB-00005343</t>
  </si>
  <si>
    <t>SVT-STR-M-27W-VSM</t>
  </si>
  <si>
    <t>SB-00006522</t>
  </si>
  <si>
    <t>SVT-STR-M-27W-45x140-C</t>
  </si>
  <si>
    <t>SB-00005726</t>
  </si>
  <si>
    <t>SVT-STR-M-27W-45x140</t>
  </si>
  <si>
    <t>SB-00005297</t>
  </si>
  <si>
    <t>SVT-STR-M-27W-20 (с защитой от 380)</t>
  </si>
  <si>
    <t>SB-00013415</t>
  </si>
  <si>
    <t>SVT-STR-M-27W-35 (с защитой от 380)</t>
  </si>
  <si>
    <t>SB-00013416</t>
  </si>
  <si>
    <t>SVT-STR-M-27W-65 (с защитой от 380)</t>
  </si>
  <si>
    <t>SB-00013417</t>
  </si>
  <si>
    <t>SVT-STR-M-27W-100 (с защитой от 380)</t>
  </si>
  <si>
    <t>SB-00008463</t>
  </si>
  <si>
    <t>SVT-STR-M-27W-30x120 (с защитой от 380)</t>
  </si>
  <si>
    <t>SB-00008464</t>
  </si>
  <si>
    <t>SVT-STR-M-27W-VSM (с защитой от 380)</t>
  </si>
  <si>
    <t>SB-00008465</t>
  </si>
  <si>
    <t>SVT-STR-M-27W-45x140-C (с защитой от 380)</t>
  </si>
  <si>
    <t>SB-00008466</t>
  </si>
  <si>
    <t>SVT-STR-M-27W-45x140 (с защитой от 380)</t>
  </si>
  <si>
    <t>SB-00008467</t>
  </si>
  <si>
    <t>SVT-STR-M-53W-20</t>
  </si>
  <si>
    <t>SB-00013418</t>
  </si>
  <si>
    <t>400х100х130</t>
  </si>
  <si>
    <t>SVT-STR-M-53W-35</t>
  </si>
  <si>
    <t>SB-00013419</t>
  </si>
  <si>
    <t>SVT-STR-M-53W-65</t>
  </si>
  <si>
    <t>SB-00013420</t>
  </si>
  <si>
    <t>SVT-STR-M-53W-100</t>
  </si>
  <si>
    <t>SB-00006521</t>
  </si>
  <si>
    <t>SVT-STR-M-53W-30x120</t>
  </si>
  <si>
    <t>SB-00005344</t>
  </si>
  <si>
    <t>SVT-STR-M-53W-VSM</t>
  </si>
  <si>
    <t>SB-00005859</t>
  </si>
  <si>
    <t>SVT-STR-M-53W-45x140-C</t>
  </si>
  <si>
    <t>SB-00007449</t>
  </si>
  <si>
    <t>SVT-STR-M-53W-45x140</t>
  </si>
  <si>
    <t>SB-00005703</t>
  </si>
  <si>
    <t>SVT-STR-M-53W-20 (с защитой от 380)</t>
  </si>
  <si>
    <t>SB-00013421</t>
  </si>
  <si>
    <t>SVT-STR-M-53W-35 (с защитой от 380)</t>
  </si>
  <si>
    <t>SB-00013422</t>
  </si>
  <si>
    <t>SVT-STR-M-53W-65 (с защитой от 380)</t>
  </si>
  <si>
    <t>SB-00013423</t>
  </si>
  <si>
    <t>SVT-STR-M-53W-100 (с защитой от 380)</t>
  </si>
  <si>
    <t>SB-00008471</t>
  </si>
  <si>
    <t>SVT-STR-M-53W-30x120 (с защитой от 380)</t>
  </si>
  <si>
    <t>SB-00008472</t>
  </si>
  <si>
    <t>SVT-STR-M-53W-VSM (с защитой от 380)</t>
  </si>
  <si>
    <t>SB-00008473</t>
  </si>
  <si>
    <t>SVT-STR-M-53W-45x140-C (с защитой от 380)</t>
  </si>
  <si>
    <t>SB-00008474</t>
  </si>
  <si>
    <t>SVT-STR-M-53W-45x140 (с защитой от 380)</t>
  </si>
  <si>
    <t>SB-00008475</t>
  </si>
  <si>
    <t>SVT-STR-M-79W-20</t>
  </si>
  <si>
    <t>SB-00013424</t>
  </si>
  <si>
    <t>600х100х130</t>
  </si>
  <si>
    <t>SVT-STR-M-79W-35</t>
  </si>
  <si>
    <t>SB-00013425</t>
  </si>
  <si>
    <t>SVT-STR-M-79W-65</t>
  </si>
  <si>
    <t>SB-00013426</t>
  </si>
  <si>
    <t>SVT-STR-M-79W-100</t>
  </si>
  <si>
    <t>SB-00005963</t>
  </si>
  <si>
    <t>SVT-STR-M-79W-30x120</t>
  </si>
  <si>
    <t>SB-00005345</t>
  </si>
  <si>
    <t>SVT-STR-M-79W-VSM</t>
  </si>
  <si>
    <t>SB-00005860</t>
  </si>
  <si>
    <t>SVT-STR-M-79W-45x140-C</t>
  </si>
  <si>
    <t>SB-00006189</t>
  </si>
  <si>
    <t>SVT-STR-M-79W-45x140</t>
  </si>
  <si>
    <t>SB-00005299</t>
  </si>
  <si>
    <t>SVT-STR-M-79W-MW-65</t>
  </si>
  <si>
    <t>SB-00013427</t>
  </si>
  <si>
    <t>Модуль с оптикой ДУО-ТРИО-КВАТРО-ПЕНТА</t>
  </si>
  <si>
    <t>SB-00007077</t>
  </si>
  <si>
    <t>Osram Duris S8 2x12шт</t>
  </si>
  <si>
    <t>200х255х60</t>
  </si>
  <si>
    <t>SVT-STR-M-27W-45x140-DUO</t>
  </si>
  <si>
    <t>SB-00007078</t>
  </si>
  <si>
    <t>Поворотный кронштейн с хомутом на трубу до 50.8мм / Консоль на трубу до 55мм</t>
  </si>
  <si>
    <t>200х200х130</t>
  </si>
  <si>
    <t>SVT-STR-M-27W-20-DUO</t>
  </si>
  <si>
    <t>SB-00013428</t>
  </si>
  <si>
    <t>SVT-STR-M-27W-35-DUO</t>
  </si>
  <si>
    <t>SB-00013429</t>
  </si>
  <si>
    <t>SVT-STR-M-27W-65-DUO</t>
  </si>
  <si>
    <t>SB-00013430</t>
  </si>
  <si>
    <t>SVT-STR-M-27W-100-DUO</t>
  </si>
  <si>
    <t>SB-00007082</t>
  </si>
  <si>
    <t>SVT-STR-M-27W-30x120-DUO</t>
  </si>
  <si>
    <t>SB-00007083</t>
  </si>
  <si>
    <t>SVT-STR-M-27W-VSM-DUO</t>
  </si>
  <si>
    <t>SB-00007084</t>
  </si>
  <si>
    <t>SB-00008476</t>
  </si>
  <si>
    <t>SVT-STR-M-27W-45x140-DUO (с защитой от 380)</t>
  </si>
  <si>
    <t>SB-00008477</t>
  </si>
  <si>
    <t>SVT-STR-M-27W-20-DUO (с защитой от 380)</t>
  </si>
  <si>
    <t>SB-00013431</t>
  </si>
  <si>
    <t>SVT-STR-M-27W-35-DUO (с защитой от 380)</t>
  </si>
  <si>
    <t>SB-00013432</t>
  </si>
  <si>
    <t>SVT-STR-M-27W-65-DUO (с защитой от 380)</t>
  </si>
  <si>
    <t>SB-00013433</t>
  </si>
  <si>
    <t>SVT-STR-M-27W-100-DUO (с защитой от 380)</t>
  </si>
  <si>
    <t>SB-00008481</t>
  </si>
  <si>
    <t>SVT-STR-M-27W-30x120-DUO (с защитой от 380)</t>
  </si>
  <si>
    <t>SB-00008482</t>
  </si>
  <si>
    <t>SVT-STR-M-27W-VSM-DUO (с защитой от 380)</t>
  </si>
  <si>
    <t>SB-00008483</t>
  </si>
  <si>
    <t>SB-00007085</t>
  </si>
  <si>
    <t>Osram Duris S8 2x24шт</t>
  </si>
  <si>
    <t>400х255х60</t>
  </si>
  <si>
    <t>SVT-STR-M-53W-45x140-DUO</t>
  </si>
  <si>
    <t>SB-00006107</t>
  </si>
  <si>
    <t>Поворотная лира (опц. хомут на трубу до 50.8мм) / Консоль на трубу до 55мм</t>
  </si>
  <si>
    <t>400х210х276*</t>
  </si>
  <si>
    <t>SVT-STR-M-53W-20-DUO</t>
  </si>
  <si>
    <t>SB-00013434</t>
  </si>
  <si>
    <t>SVT-STR-M-53W-35-DUO</t>
  </si>
  <si>
    <t>SB-00013435</t>
  </si>
  <si>
    <t>SVT-STR-M-53W-65-DUO</t>
  </si>
  <si>
    <t>SB-00013436</t>
  </si>
  <si>
    <t>SVT-STR-M-53W-100-DUO</t>
  </si>
  <si>
    <t>SB-00007088</t>
  </si>
  <si>
    <t>SVT-STR-M-53W-30x120-DUO</t>
  </si>
  <si>
    <t>SB-00006381</t>
  </si>
  <si>
    <t>SVT-STR-M-53W-VSM-DUO</t>
  </si>
  <si>
    <t>SB-00006433</t>
  </si>
  <si>
    <t>SB-00008484</t>
  </si>
  <si>
    <t>SVT-STR-M-53W-45x140-DUO (с защитой от 380)</t>
  </si>
  <si>
    <t>SB-00008485</t>
  </si>
  <si>
    <t>SVT-STR-M-53W-20-DUO (с защитой от 380)</t>
  </si>
  <si>
    <t>SB-00013437</t>
  </si>
  <si>
    <t>SVT-STR-M-53W-35-DUO (с защитой от 380)</t>
  </si>
  <si>
    <t>SB-00013438</t>
  </si>
  <si>
    <t>SVT-STR-M-53W-65-DUO (с защитой от 380)</t>
  </si>
  <si>
    <t>SB-00013439</t>
  </si>
  <si>
    <t>SVT-STR-M-53W-100-DUO (с защитой от 380)</t>
  </si>
  <si>
    <t>SB-00008489</t>
  </si>
  <si>
    <t>SVT-STR-M-53W-30x120-DUO (с защитой от 380)</t>
  </si>
  <si>
    <t>SB-00008490</t>
  </si>
  <si>
    <t>SVT-STR-M-53W-VSM-DUO (с защитой от 380)</t>
  </si>
  <si>
    <t>SB-00008491</t>
  </si>
  <si>
    <t>SB-00007090</t>
  </si>
  <si>
    <t>Osram Duris S8 2x36шт</t>
  </si>
  <si>
    <t>600х255х60</t>
  </si>
  <si>
    <t xml:space="preserve"> -40°/+40° С</t>
  </si>
  <si>
    <t>SVT-STR-M-79W-45x140-DUO</t>
  </si>
  <si>
    <t>SB-00006899</t>
  </si>
  <si>
    <t>600х210х276*</t>
  </si>
  <si>
    <t>SVT-STR-M-79W-20-DUO</t>
  </si>
  <si>
    <t>SB-00013440</t>
  </si>
  <si>
    <t>SVT-STR-M-79W-35-DUO</t>
  </si>
  <si>
    <t>SB-00013441</t>
  </si>
  <si>
    <t>SVT-STR-M-79W-65-DUO</t>
  </si>
  <si>
    <t>SB-00013442</t>
  </si>
  <si>
    <t>SVT-STR-M-79W-100-DUO</t>
  </si>
  <si>
    <t>SB-00006350</t>
  </si>
  <si>
    <t>SVT-STR-M-79W-30x120-DUO</t>
  </si>
  <si>
    <t>SB-00007093</t>
  </si>
  <si>
    <t>SVT-STR-M-79W-VSM-DUO</t>
  </si>
  <si>
    <t>SB-00007094</t>
  </si>
  <si>
    <t>SB-00007056</t>
  </si>
  <si>
    <t>Osram Duris S8 3x12шт</t>
  </si>
  <si>
    <t>200х310х130</t>
  </si>
  <si>
    <t>SVT-STR-M-27W-45x140-TRIO</t>
  </si>
  <si>
    <t>SB-00007057</t>
  </si>
  <si>
    <t>SVT-STR-M-27W-20-TRIO</t>
  </si>
  <si>
    <t>SB-00013443</t>
  </si>
  <si>
    <t>SVT-STR-M-27W-35-TRIO</t>
  </si>
  <si>
    <t>SB-00013445</t>
  </si>
  <si>
    <t>SVT-STR-M-27W-65-TRIO</t>
  </si>
  <si>
    <t>SB-00013446</t>
  </si>
  <si>
    <t>SVT-STR-M-27W-100-TRIO</t>
  </si>
  <si>
    <t>SB-00007061</t>
  </si>
  <si>
    <t>SVT-STR-M-27W-30x120-TRIO</t>
  </si>
  <si>
    <t>SB-00007062</t>
  </si>
  <si>
    <t>SVT-STR-M-27W-VSM-TRIO</t>
  </si>
  <si>
    <t>SB-00007063</t>
  </si>
  <si>
    <t>SB-00008492</t>
  </si>
  <si>
    <t>SVT-STR-M-27W-45x140-TRIO (с защитой от 380)</t>
  </si>
  <si>
    <t>SB-00008493</t>
  </si>
  <si>
    <t>SVT-STR-M-27W-20-TRIO (с защитой от 380)</t>
  </si>
  <si>
    <t>SB-00013447</t>
  </si>
  <si>
    <t>SVT-STR-M-27W-35-TRIO (с защитой от 380)</t>
  </si>
  <si>
    <t>SB-00013448</t>
  </si>
  <si>
    <t>SVT-STR-M-27W-65-TRIO (с защитой от 380)</t>
  </si>
  <si>
    <t>SB-00013449</t>
  </si>
  <si>
    <t>SVT-STR-M-27W-100-TRIO (с защитой от 380)</t>
  </si>
  <si>
    <t>SB-00008497</t>
  </si>
  <si>
    <t>SVT-STR-M-27W-30x120-TRIO (с защитой от 380)</t>
  </si>
  <si>
    <t>SB-00008498</t>
  </si>
  <si>
    <t>SVT-STR-M-27W-VSM-TRIO (с защитой от 380)</t>
  </si>
  <si>
    <t>SB-00008499</t>
  </si>
  <si>
    <t>SB-00007064</t>
  </si>
  <si>
    <t>Osram Duris S8 3x24шт</t>
  </si>
  <si>
    <t>400х310х130</t>
  </si>
  <si>
    <t>SVT-STR-M-53W-45x140-TRIO</t>
  </si>
  <si>
    <t>SB-00007065</t>
  </si>
  <si>
    <t>400х320х276*</t>
  </si>
  <si>
    <t>SVT-STR-M-53W-20-TRIO</t>
  </si>
  <si>
    <t>SB-00013450</t>
  </si>
  <si>
    <t>SVT-STR-M-53W-35-TRIO</t>
  </si>
  <si>
    <t>SB-00013451</t>
  </si>
  <si>
    <t>SVT-STR-M-53W-65-TRIO</t>
  </si>
  <si>
    <t>SB-00013452</t>
  </si>
  <si>
    <t>SVT-STR-M-53W-100-TRIO</t>
  </si>
  <si>
    <t>SB-00007068</t>
  </si>
  <si>
    <t>SVT-STR-M-53W-30x120-TRIO</t>
  </si>
  <si>
    <t>SB-00007069</t>
  </si>
  <si>
    <t>SVT-STR-M-53W-VSM-TRIO</t>
  </si>
  <si>
    <t>SB-00007070</t>
  </si>
  <si>
    <t>SB-00008500</t>
  </si>
  <si>
    <t>SVT-STR-M-53W-45x140-TRIO (с защитой от 380)</t>
  </si>
  <si>
    <t>SB-00008501</t>
  </si>
  <si>
    <t>SVT-STR-M-53W-20-TRIO (с защитой от 380)</t>
  </si>
  <si>
    <t>SB-00013453</t>
  </si>
  <si>
    <t>SVT-STR-M-53W-35-TRIO (с защитой от 380)</t>
  </si>
  <si>
    <t>SB-00013454</t>
  </si>
  <si>
    <t>SVT-STR-M-53W-65-TRIO (с защитой от 380)</t>
  </si>
  <si>
    <t>SB-00013455</t>
  </si>
  <si>
    <t>SVT-STR-M-53W-100-TRIO (с защитой от 380)</t>
  </si>
  <si>
    <t>SB-00008505</t>
  </si>
  <si>
    <t>SVT-STR-M-53W-30x120-TRIO (с защитой от 380)</t>
  </si>
  <si>
    <t>SB-00008506</t>
  </si>
  <si>
    <t>SVT-STR-M-53W-VSM-TRIO (с защитой от 380)</t>
  </si>
  <si>
    <t>SB-00008507</t>
  </si>
  <si>
    <t>SB-00007071</t>
  </si>
  <si>
    <t>Osram Duris S8 3x36шт</t>
  </si>
  <si>
    <t>600х310х130</t>
  </si>
  <si>
    <t>SVT-STR-M-79W-45x140-TRIO</t>
  </si>
  <si>
    <t>SB-00005847</t>
  </si>
  <si>
    <t>600х320х276*</t>
  </si>
  <si>
    <t>SVT-STR-M-79W-20-TRIO</t>
  </si>
  <si>
    <t>SB-00013456</t>
  </si>
  <si>
    <t>SVT-STR-M-79W-35-TRIO</t>
  </si>
  <si>
    <t>SB-00013457</t>
  </si>
  <si>
    <t>SVT-STR-M-79W-65-TRIO</t>
  </si>
  <si>
    <t>SB-00013458</t>
  </si>
  <si>
    <t>SVT-STR-M-79W-100-TRIO</t>
  </si>
  <si>
    <t>SB-00007074</t>
  </si>
  <si>
    <t>SVT-STR-M-79W-30x120-TRIO</t>
  </si>
  <si>
    <t>SB-00007075</t>
  </si>
  <si>
    <t>SVT-STR-M-79W-VSM-TRIO</t>
  </si>
  <si>
    <t>SB-00007076</t>
  </si>
  <si>
    <t>SVT-STR-M-53W-45x140-QUATTRO</t>
  </si>
  <si>
    <t>SB-00007095</t>
  </si>
  <si>
    <t>Osram Duris S8 4x24шт</t>
  </si>
  <si>
    <t>400х430х276*</t>
  </si>
  <si>
    <t>SVT-STR-M-53W-20-QUATTRO</t>
  </si>
  <si>
    <t>SB-00013459</t>
  </si>
  <si>
    <t>SVT-STR-M-53W-35-QUATTRO</t>
  </si>
  <si>
    <t>SB-00013460</t>
  </si>
  <si>
    <t>SVT-STR-M-53W-65-QUATTRO</t>
  </si>
  <si>
    <t>SB-00013461</t>
  </si>
  <si>
    <t>SVT-STR-M-53W-100-QUATTRO</t>
  </si>
  <si>
    <t>SB-00007098</t>
  </si>
  <si>
    <t>SVT-STR-M-53W-30x120-QUATTRO</t>
  </si>
  <si>
    <t>SB-00007099</t>
  </si>
  <si>
    <t>SVT-STR-M-53W-VSM-QUATTRO</t>
  </si>
  <si>
    <t>SB-00007100</t>
  </si>
  <si>
    <t>SVT-STR-M-53W-45x140-QUATTRO (с защитой от 380)</t>
  </si>
  <si>
    <t>SB-00008508</t>
  </si>
  <si>
    <t>SVT-STR-M-53W-20-QUATTRO (с защитой от 380)</t>
  </si>
  <si>
    <t>SB-00013462</t>
  </si>
  <si>
    <t>SVT-STR-M-53W-35-QUATTRO (с защитой от 380)</t>
  </si>
  <si>
    <t>SB-00013463</t>
  </si>
  <si>
    <t>SVT-STR-M-53W-65-QUATTRO (с защитой от 380)</t>
  </si>
  <si>
    <t>SB-00013464</t>
  </si>
  <si>
    <t>SVT-STR-M-53W-100-QUATTRO (с защитой от 380)</t>
  </si>
  <si>
    <t>SB-00008512</t>
  </si>
  <si>
    <t>SVT-STR-M-53W-30x120-QUATTRO (с защитой от 380)</t>
  </si>
  <si>
    <t>SB-00008513</t>
  </si>
  <si>
    <t>SVT-STR-M-53W-VSM-QUATTRO (с защитой от 380)</t>
  </si>
  <si>
    <t>SB-00008514</t>
  </si>
  <si>
    <t>SVT-STR-M-79W-45x140-QUATTRO</t>
  </si>
  <si>
    <t>SB-00007101</t>
  </si>
  <si>
    <t>Osram Duris S8 4x36шт</t>
  </si>
  <si>
    <t>600х430х276*</t>
  </si>
  <si>
    <t>SVT-STR-M-79W-20-QUATTRO</t>
  </si>
  <si>
    <t>SB-00013465</t>
  </si>
  <si>
    <t>SVT-STR-M-79W-35-QUATTRO</t>
  </si>
  <si>
    <t>SB-00013466</t>
  </si>
  <si>
    <t>SVT-STR-M-79W-65-QUATTRO</t>
  </si>
  <si>
    <t>SB-00013467</t>
  </si>
  <si>
    <t>SVT-STR-M-79W-100-QUATTRO</t>
  </si>
  <si>
    <t>SB-00007105</t>
  </si>
  <si>
    <t>SVT-STR-M-79W-30x120-QUATTRO</t>
  </si>
  <si>
    <t>SB-00007106</t>
  </si>
  <si>
    <t>SVT-STR-M-79W-VSM-QUATTRO</t>
  </si>
  <si>
    <t>SB-00007107</t>
  </si>
  <si>
    <t>SVT-STR-M-53W-45x140-PENTA</t>
  </si>
  <si>
    <t>SB-00008203</t>
  </si>
  <si>
    <t>Osram Duris S8 5x24шт</t>
  </si>
  <si>
    <t>400х540х276*</t>
  </si>
  <si>
    <t>SVT-STR-M-53W-20-PENTA</t>
  </si>
  <si>
    <t>SB-00013468</t>
  </si>
  <si>
    <t>SVT-STR-M-53W-35-PENTA</t>
  </si>
  <si>
    <t>SB-00013469</t>
  </si>
  <si>
    <t>SVT-STR-M-53W-65-PENTA</t>
  </si>
  <si>
    <t>SB-00013470</t>
  </si>
  <si>
    <t>SVT-STR-M-53W-100-PENTA</t>
  </si>
  <si>
    <t>SB-00008207</t>
  </si>
  <si>
    <t>SVT-STR-M-53W-30x120-PENTA</t>
  </si>
  <si>
    <t>SB-00008208</t>
  </si>
  <si>
    <t>SVT-STR-M-53W-VSM-PENTA</t>
  </si>
  <si>
    <t>SB-00008209</t>
  </si>
  <si>
    <t>SVT-STR-M-53W-45x140-PENTA (с защитой от 380)</t>
  </si>
  <si>
    <t>SB-00008515</t>
  </si>
  <si>
    <t>SVT-STR-M-53W-20-PENTA (с защитой от 380)</t>
  </si>
  <si>
    <t>SB-00013471</t>
  </si>
  <si>
    <t>SVT-STR-M-53W-35-PENTA (с защитой от 380)</t>
  </si>
  <si>
    <t>SB-00013472</t>
  </si>
  <si>
    <t>SVT-STR-M-53W-65-PENTA (с защитой от 380)</t>
  </si>
  <si>
    <t>SB-00013473</t>
  </si>
  <si>
    <t>SVT-STR-M-53W-100-PENTA (с защитой от 380)</t>
  </si>
  <si>
    <t>SB-00008519</t>
  </si>
  <si>
    <t>SVT-STR-M-53W-30x120-PENTA (с защитой от 380)</t>
  </si>
  <si>
    <t>SB-00008520</t>
  </si>
  <si>
    <t>SVT-STR-M-53W-VSM-PENTA (с защитой от 380)</t>
  </si>
  <si>
    <t>SB-00008521</t>
  </si>
  <si>
    <t>SVT-STR-M-79W-45x140-PENTA</t>
  </si>
  <si>
    <t>SB-00008210</t>
  </si>
  <si>
    <t>Osram Duris S8 5x36шт</t>
  </si>
  <si>
    <t>600х540х276*</t>
  </si>
  <si>
    <t>SVT-STR-M-79W-20-PENTA</t>
  </si>
  <si>
    <t>SB-00013474</t>
  </si>
  <si>
    <t>SVT-STR-M-79W-35-PENTA</t>
  </si>
  <si>
    <t>SB-00013475</t>
  </si>
  <si>
    <t>SVT-STR-M-79W-65-PENTA</t>
  </si>
  <si>
    <t>SB-00013476</t>
  </si>
  <si>
    <t>SVT-STR-M-79W-100-PENTA</t>
  </si>
  <si>
    <t>SB-00008214</t>
  </si>
  <si>
    <t>SVT-STR-M-79W-30x120-PENTA</t>
  </si>
  <si>
    <t>SB-00008215</t>
  </si>
  <si>
    <t>SVT-STR-M-79W-VSM-PENTA</t>
  </si>
  <si>
    <t>SB-00008216</t>
  </si>
  <si>
    <t>Модули с оптикой COLOR</t>
  </si>
  <si>
    <t>SVT-STR-M-24W-12-RED</t>
  </si>
  <si>
    <t>SB-00008390</t>
  </si>
  <si>
    <t>К, 12</t>
  </si>
  <si>
    <t>RED</t>
  </si>
  <si>
    <t>Prolight 12шт</t>
  </si>
  <si>
    <t>700мА</t>
  </si>
  <si>
    <t>SVT-STR-M-24W-27-RED</t>
  </si>
  <si>
    <t>SB-00008391</t>
  </si>
  <si>
    <t>К, 27</t>
  </si>
  <si>
    <t>SVT-STR-M-24W-58-RED</t>
  </si>
  <si>
    <t>SB-00008392</t>
  </si>
  <si>
    <t>Г, 58</t>
  </si>
  <si>
    <t>SVT-STR-M-38W-12-RED</t>
  </si>
  <si>
    <t>SB-00008393</t>
  </si>
  <si>
    <t>Prolight 24шт</t>
  </si>
  <si>
    <t>SVT-STR-M-38W-27-RED</t>
  </si>
  <si>
    <t>SB-00008394</t>
  </si>
  <si>
    <t>SVT-STR-M-38W-58-RED</t>
  </si>
  <si>
    <t>SB-00008395</t>
  </si>
  <si>
    <t>SVT-STR-M-58W-12-RED</t>
  </si>
  <si>
    <t>SB-00008396</t>
  </si>
  <si>
    <t>Prolight 36шт</t>
  </si>
  <si>
    <t>SVT-STR-M-58W-27-RED</t>
  </si>
  <si>
    <t>SB-00008397</t>
  </si>
  <si>
    <t>SVT-STR-M-58W-58-RED</t>
  </si>
  <si>
    <t>SB-00008398</t>
  </si>
  <si>
    <t>SVT-STR-M-30W-12-GREEN</t>
  </si>
  <si>
    <t>SB-00008399</t>
  </si>
  <si>
    <t>GREEN</t>
  </si>
  <si>
    <t>SVT-STR-M-30W-27-GREEN</t>
  </si>
  <si>
    <t>SB-00008400</t>
  </si>
  <si>
    <t>SVT-STR-M-30W-58-GREEN</t>
  </si>
  <si>
    <t>SB-00008401</t>
  </si>
  <si>
    <t>SVT-STR-M-60W-12-GREEN</t>
  </si>
  <si>
    <t>SB-00008402</t>
  </si>
  <si>
    <t>SVT-STR-M-60W-27-GREEN</t>
  </si>
  <si>
    <t>SB-00008403</t>
  </si>
  <si>
    <t>SVT-STR-M-60W-58-GREEN</t>
  </si>
  <si>
    <t>SB-00008404</t>
  </si>
  <si>
    <t>SVT-STR-M-90W-12-GREEN</t>
  </si>
  <si>
    <t>SB-00008405</t>
  </si>
  <si>
    <t>SVT-STR-M-90W-27-GREEN</t>
  </si>
  <si>
    <t>SB-00008406</t>
  </si>
  <si>
    <t>SVT-STR-M-90W-58-GREEN</t>
  </si>
  <si>
    <t>SB-00008407</t>
  </si>
  <si>
    <t>SVT-STR-M-30W-12-BLUE</t>
  </si>
  <si>
    <t>SB-00008408</t>
  </si>
  <si>
    <t>BLUE</t>
  </si>
  <si>
    <t>SVT-STR-M-30W-27-BLUE</t>
  </si>
  <si>
    <t>SB-00008409</t>
  </si>
  <si>
    <t>SVT-STR-M-30W-58-BLUE</t>
  </si>
  <si>
    <t>SB-00008410</t>
  </si>
  <si>
    <t>SVT-STR-M-60W-12-BLUE</t>
  </si>
  <si>
    <t>SB-00008414</t>
  </si>
  <si>
    <t>SVT-STR-M-60W-27-BLUE</t>
  </si>
  <si>
    <t>SB-00008415</t>
  </si>
  <si>
    <t>SVT-STR-M-60W-58-BLUE</t>
  </si>
  <si>
    <t>SB-00008416</t>
  </si>
  <si>
    <t>SVT-STR-M-90W-12-BLUE</t>
  </si>
  <si>
    <t>SB-00008420</t>
  </si>
  <si>
    <t>SVT-STR-M-90W-27-BLUE</t>
  </si>
  <si>
    <t>SB-00008421</t>
  </si>
  <si>
    <t>SVT-STR-M-90W-58-BLUE</t>
  </si>
  <si>
    <t>SB-00008422</t>
  </si>
  <si>
    <t>SVT-STR-M-30W-12-AMBER</t>
  </si>
  <si>
    <t>SB-00008411</t>
  </si>
  <si>
    <t>AMBER</t>
  </si>
  <si>
    <t>SVT-STR-M-30W-27-AMBER</t>
  </si>
  <si>
    <t>SB-00008412</t>
  </si>
  <si>
    <t>SVT-STR-M-30W-58-AMBER</t>
  </si>
  <si>
    <t>SB-00008413</t>
  </si>
  <si>
    <t>SVT-STR-M-60W-12-AMBER</t>
  </si>
  <si>
    <t>SB-00008417</t>
  </si>
  <si>
    <t>SVT-STR-M-60W-27-AMBER</t>
  </si>
  <si>
    <t>SB-00008418</t>
  </si>
  <si>
    <t>SVT-STR-M-60W-58-AMBER</t>
  </si>
  <si>
    <t>SB-00008419</t>
  </si>
  <si>
    <t>SVT-STR-M-90W-12-AMBER</t>
  </si>
  <si>
    <t>SB-00008423</t>
  </si>
  <si>
    <t>SVT-STR-M-90W-27-AMBER</t>
  </si>
  <si>
    <t>SB-00008424</t>
  </si>
  <si>
    <t>SVT-STR-M-90W-58-AMBER</t>
  </si>
  <si>
    <t>SB-00008425</t>
  </si>
  <si>
    <t>* Практически любой прожектор SVT оснащается цветными монохромными светодиодами RED/GREEN/BLUE/AMBER с удорожанием 0,5$ за 1 светодиод.</t>
  </si>
  <si>
    <t>Ромашка High-Bay - крепление на 1 подвес</t>
  </si>
  <si>
    <t>Ромашка High-Bay</t>
  </si>
  <si>
    <t>SVT-P-FLOWER-192W (с защитой от 380В, трос)</t>
  </si>
  <si>
    <t>SB-00008616</t>
  </si>
  <si>
    <t>Samsung LM281B+ 6*84 шт</t>
  </si>
  <si>
    <t>Литой экструдированный алюминиевый анодированный профиль + крепеж</t>
  </si>
  <si>
    <t>585x585x136</t>
  </si>
  <si>
    <t>SVT-P-FLOWER-288W (с защитой от 380В, трос)</t>
  </si>
  <si>
    <t>SB-00008617</t>
  </si>
  <si>
    <t>Samsung LM281B+ 6*132 шт</t>
  </si>
  <si>
    <t>680x680x136</t>
  </si>
  <si>
    <t>SVT-P-FLOWER-366W (с защитой от 380В, трос)</t>
  </si>
  <si>
    <t>SB-00008618</t>
  </si>
  <si>
    <t>Samsung LM281B+ 6*168 шт</t>
  </si>
  <si>
    <t>880x880x136</t>
  </si>
  <si>
    <t>SVT-P-FLOWER-162W-20 (с защитой от 380В, трос)</t>
  </si>
  <si>
    <t>SB-00013477</t>
  </si>
  <si>
    <t>Osram Duris S8 6*12шт</t>
  </si>
  <si>
    <t>578x578x136</t>
  </si>
  <si>
    <t>SVT-P-FLOWER-162W-35 (с защитой от 380В, трос)</t>
  </si>
  <si>
    <t>SB-00013478</t>
  </si>
  <si>
    <t>SVT-P-FLOWER-162W-65 (с защитой от 380В, трос)</t>
  </si>
  <si>
    <t>SB-00013479</t>
  </si>
  <si>
    <t>SVT-P-FLOWER-318W-20 (с защитой от 380В, трос)</t>
  </si>
  <si>
    <t>SB-00013480</t>
  </si>
  <si>
    <t>Osram Duris S8 6*24шт</t>
  </si>
  <si>
    <t>980x980x136</t>
  </si>
  <si>
    <t>SVT-P-FLOWER-318W-35 (с защитой от 380В, трос)</t>
  </si>
  <si>
    <t>SB-00013481</t>
  </si>
  <si>
    <t>SVT-P-FLOWER-318W-65 (с защитой от 380В, трос)</t>
  </si>
  <si>
    <t>SB-00013482</t>
  </si>
  <si>
    <t>SVT-P-FLOWER-128W (с защитой от 380В, трос)</t>
  </si>
  <si>
    <t>SB-00008640</t>
  </si>
  <si>
    <t>Samsung LM281B+ 4*84 шт</t>
  </si>
  <si>
    <t>SVT-P-FLOWER-192W (с защитой от 380В, трос, 48x4)</t>
  </si>
  <si>
    <t>SB-00008641</t>
  </si>
  <si>
    <t>Samsung LM281B+ 4*132 шт</t>
  </si>
  <si>
    <t>SVT-P-FLOWER-244W (с защитой от 380В, трос)</t>
  </si>
  <si>
    <t>SB-00008642</t>
  </si>
  <si>
    <t>SVT-P-FLOWER-96W (с защитой от 380В, трос)</t>
  </si>
  <si>
    <t>SB-00008643</t>
  </si>
  <si>
    <t>Samsung LM281B+ 3*84 шт</t>
  </si>
  <si>
    <t>SVT-P-FLOWER-144W (с защитой от 380В, трос)</t>
  </si>
  <si>
    <t>SB-00008644</t>
  </si>
  <si>
    <t>Samsung LM281B+ 3*132 шт</t>
  </si>
  <si>
    <t>SVT-P-FLOWER-183W (с защитой от 380В, трос)</t>
  </si>
  <si>
    <t>SB-00008645</t>
  </si>
  <si>
    <t>SVT-P-FLOWER-108W-20 (с защитой от 380В, трос)</t>
  </si>
  <si>
    <t>SB-00013483</t>
  </si>
  <si>
    <t>Osram Duris S8 4*12шт</t>
  </si>
  <si>
    <t>SVT-P-FLOWER-108W-35 (с защитой от 380В, трос)</t>
  </si>
  <si>
    <t>SB-00013484</t>
  </si>
  <si>
    <t>SVT-P-FLOWER-108W-65 (с защитой от 380В, трос)</t>
  </si>
  <si>
    <t>SB-00013485</t>
  </si>
  <si>
    <t>SVT-P-FLOWER-212W-20 (с защитой от 380В, трос)</t>
  </si>
  <si>
    <t>SB-00013486</t>
  </si>
  <si>
    <t>Osram Duris S8 4*24шт</t>
  </si>
  <si>
    <t>SVT-P-FLOWER-212W-35 (с защитой от 380В, трос)</t>
  </si>
  <si>
    <t>SB-00013487</t>
  </si>
  <si>
    <t>SVT-P-FLOWER-212W-65 (с защитой от 380В, трос)</t>
  </si>
  <si>
    <t>SB-00013488</t>
  </si>
  <si>
    <t>SVT-P-FLOWER-81W-20 (с защитой от 380В, трос)</t>
  </si>
  <si>
    <t>SB-00013489</t>
  </si>
  <si>
    <t>Osram Duris S8 3*12шт</t>
  </si>
  <si>
    <t>SVT-P-FLOWER-81W-35 (с защитой от 380В, трос)</t>
  </si>
  <si>
    <t>SB-00013490</t>
  </si>
  <si>
    <t>SVT-P-FLOWER-81W-65 (с защитой от 380В, трос)</t>
  </si>
  <si>
    <t>SB-00013491</t>
  </si>
  <si>
    <t>SVT-P-FLOWER-159W-20 (с защитой от 380В, трос)</t>
  </si>
  <si>
    <t>SB-00013492</t>
  </si>
  <si>
    <t>Osram Duris S8 3*24шт</t>
  </si>
  <si>
    <t>SVT-P-FLOWER-159W-35 (с защитой от 380В, трос)</t>
  </si>
  <si>
    <t>SB-00013493</t>
  </si>
  <si>
    <t>SVT-P-FLOWER-159W-65 (с защитой от 380В, трос)</t>
  </si>
  <si>
    <t>SB-00013494</t>
  </si>
  <si>
    <t>АЗС на основе Модуля</t>
  </si>
  <si>
    <t>SVT-STR-M-48W-AZS (рамка 350х350)</t>
  </si>
  <si>
    <t>SB-00009116</t>
  </si>
  <si>
    <t>Литой экструдированный алюминиевый анодированный профиль. Рамка сталь с порошковой окраской.</t>
  </si>
  <si>
    <t>Рамка для встраивания в потолок на АЗС. Рамка изготавливается в размер под заказ.</t>
  </si>
  <si>
    <t>350х350х55</t>
  </si>
  <si>
    <t>SVT-STR-M-48W-AZS-DUO (рамка 350х350)</t>
  </si>
  <si>
    <t>SB-00009117</t>
  </si>
  <si>
    <t>Samsung LM281B+ 2x84 шт</t>
  </si>
  <si>
    <t>Рамка для АЗС на Модули с защитой 380В. Для 1 или 2 Модулей.</t>
  </si>
  <si>
    <t>Модуль - V</t>
  </si>
  <si>
    <t>SVT-STR-MV-64W</t>
  </si>
  <si>
    <t>SB-00005827</t>
  </si>
  <si>
    <t>450х100х100</t>
  </si>
  <si>
    <t>SVT-STR-MV-96W</t>
  </si>
  <si>
    <t>SB-00005828</t>
  </si>
  <si>
    <t>500х100х100</t>
  </si>
  <si>
    <t>SVT-STR-MV-122W</t>
  </si>
  <si>
    <t>SB-00005829</t>
  </si>
  <si>
    <t>Samsung LM281B+ 336 шт</t>
  </si>
  <si>
    <t>550х100х100</t>
  </si>
  <si>
    <t>SVT-STR-MV-64W (с защитой от 380)</t>
  </si>
  <si>
    <t>SB-00008522</t>
  </si>
  <si>
    <t>SVT-STR-MV-96W (с защитой от 380)</t>
  </si>
  <si>
    <t>SB-00008523</t>
  </si>
  <si>
    <t>SVT-STR-MV-122W (с защитой от 380)</t>
  </si>
  <si>
    <t>SB-00008524</t>
  </si>
  <si>
    <t>PRO-SPORT-CRI90</t>
  </si>
  <si>
    <t>SVT-STR-MPRO-53W-20-CRI90-5700K</t>
  </si>
  <si>
    <t>SB-00012157</t>
  </si>
  <si>
    <t>5700K</t>
  </si>
  <si>
    <t>90+</t>
  </si>
  <si>
    <t>SEOUL/OSRAM/SAMSUNG</t>
  </si>
  <si>
    <t>SVT-STR-MPRO-53W-35-CRI90-5700K</t>
  </si>
  <si>
    <t>SB-00012158</t>
  </si>
  <si>
    <t>SVT-STR-MPRO-53W-65-CRI90-5700K</t>
  </si>
  <si>
    <t>SB-00012159</t>
  </si>
  <si>
    <t>SVT-STR-MPRO-79W-20-CRI90-5700K</t>
  </si>
  <si>
    <t>SB-00012160</t>
  </si>
  <si>
    <t>MeanWell с диммингом 0-10В/ШИМ</t>
  </si>
  <si>
    <t>SVT-STR-MPRO-79W-35-CRI90-5700K</t>
  </si>
  <si>
    <t>SB-00012161</t>
  </si>
  <si>
    <t>SVT-STR-MPRO-79W-65-CRI90-5700K</t>
  </si>
  <si>
    <t>SB-00012162</t>
  </si>
  <si>
    <t>SVT-STR-MPRO-102W-20-CRI90-5700K</t>
  </si>
  <si>
    <t>SB-00012163</t>
  </si>
  <si>
    <t>SVT-STR-MPRO-102W-35-CRI90-5700K</t>
  </si>
  <si>
    <t>SB-00012164</t>
  </si>
  <si>
    <t>SVT-STR-MPRO-102W-65-CRI90-5700K</t>
  </si>
  <si>
    <t>SB-00012165</t>
  </si>
  <si>
    <t>SVT-STR-MPRO-79W-20-CRI90-5700K-DUO</t>
  </si>
  <si>
    <t>SB-00012166</t>
  </si>
  <si>
    <t>SVT-STR-MPRO-79W-35-CRI90-5700K-DUO</t>
  </si>
  <si>
    <t>SB-00012167</t>
  </si>
  <si>
    <t>SVT-STR-MPRO-79W-65-CRI90-5700K-DUO</t>
  </si>
  <si>
    <t>SB-00012168</t>
  </si>
  <si>
    <t>SVT-STR-MPRO-79W-20-CRI90-5700K-TRIO</t>
  </si>
  <si>
    <t>SB-00012169</t>
  </si>
  <si>
    <t>SVT-STR-MPRO-79W-35-CRI90-5700K-TRIO</t>
  </si>
  <si>
    <t>SB-00012170</t>
  </si>
  <si>
    <t>SVT-STR-MPRO-79W-65-CRI90-5700K-TRIO</t>
  </si>
  <si>
    <t>SB-00012171</t>
  </si>
  <si>
    <t>SVT-STR-MPRO-102W-20-CRI90-5700K-DUO</t>
  </si>
  <si>
    <t>SB-00012172</t>
  </si>
  <si>
    <t>SVT-STR-MPRO-102W-35-CRI90-5700K-DUO</t>
  </si>
  <si>
    <t>SB-00012173</t>
  </si>
  <si>
    <t>SVT-STR-MPRO-102W-65-CRI90-5700K-DUO</t>
  </si>
  <si>
    <t>SB-00012174</t>
  </si>
  <si>
    <t>SVT-STR-MPRO-102W-20-CRI90-5700K-TRIO</t>
  </si>
  <si>
    <t>SB-00012175</t>
  </si>
  <si>
    <t>SVT-STR-MPRO-102W-35-CRI90-5700K-TRIO</t>
  </si>
  <si>
    <t>SB-00012176</t>
  </si>
  <si>
    <t>SVT-STR-MPRO-102W-65-CRI90-5700K-TRIO</t>
  </si>
  <si>
    <t>SB-00012177</t>
  </si>
  <si>
    <t>SVT-STR-MPRO-102W-20-CRI90-5700K-QUATTRO</t>
  </si>
  <si>
    <t>SB-00012178</t>
  </si>
  <si>
    <t>SVT-STR-MPRO-102W-35-CRI90-5700K-QUATTRO</t>
  </si>
  <si>
    <t>SB-00012179</t>
  </si>
  <si>
    <t>SVT-STR-MPRO-102W-65-CRI90-5700K-QUATTRO</t>
  </si>
  <si>
    <t>SB-00012180</t>
  </si>
  <si>
    <t>SVT-STR-MPRO-61W-CRI90-5700K</t>
  </si>
  <si>
    <t>SB-00012181</t>
  </si>
  <si>
    <t>Аргос/Трион с защитой от 380В, грозозащитой или иной по запросу</t>
  </si>
  <si>
    <t>SVT-STR-MPRO-61W-CRI90-5700K-DUO</t>
  </si>
  <si>
    <t>SB-00012182</t>
  </si>
  <si>
    <t>SVT-STR-MPRO-61W-CRI90-5700K-TRIO</t>
  </si>
  <si>
    <t>SB-00012183</t>
  </si>
  <si>
    <t>SVT-STR-MPRO-96W-CRI90-5700K</t>
  </si>
  <si>
    <t>SB-00012184</t>
  </si>
  <si>
    <t>SVT-STR-MPRO-96W-CRI90-5700K-DUO</t>
  </si>
  <si>
    <t>SB-00012185</t>
  </si>
  <si>
    <t>SVT-STR-MPRO-96W-CRI90-5700K-TRIO</t>
  </si>
  <si>
    <t>SB-00012186</t>
  </si>
  <si>
    <t>SVT-STR-MPRO-96W-CRI90-5700K-QUATTRO</t>
  </si>
  <si>
    <t>SB-00012187</t>
  </si>
  <si>
    <t>MAX-SPORT-CRI90</t>
  </si>
  <si>
    <t>SVT-STR-MPRO-Max-81W-20-CRI90-5700K</t>
  </si>
  <si>
    <t>SB-00012188</t>
  </si>
  <si>
    <t>SVT-STR-MPRO-Max-81W-35-CRI90-5700K</t>
  </si>
  <si>
    <t>SB-00012189</t>
  </si>
  <si>
    <t>SVT-STR-MPRO-Max-81W-65-CRI90-5700K</t>
  </si>
  <si>
    <t>SB-00012190</t>
  </si>
  <si>
    <t>SVT-STR-MPRO-Max-119W-20-CRI90-5700K</t>
  </si>
  <si>
    <t>SB-00012191</t>
  </si>
  <si>
    <t>SVT-STR-MPRO-Max-119W-35-CRI90-5700K</t>
  </si>
  <si>
    <t>SB-00012192</t>
  </si>
  <si>
    <t>SVT-STR-MPRO-Max-119W-65-CRI90-5700K</t>
  </si>
  <si>
    <t>SB-00012193</t>
  </si>
  <si>
    <t>SVT-STR-MPRO-Max-155W-20-CRI90-5700K</t>
  </si>
  <si>
    <t>SB-00012194</t>
  </si>
  <si>
    <t>SVT-STR-MPRO-Max-155W-35-CRI90-5700K</t>
  </si>
  <si>
    <t>SB-00012195</t>
  </si>
  <si>
    <t>SVT-STR-MPRO-Max-155W-65-CRI90-5700K</t>
  </si>
  <si>
    <t>SB-00012196</t>
  </si>
  <si>
    <t>SVT-STR-MPRO-Max-119W-20-CRI90-5700K-DUO</t>
  </si>
  <si>
    <t>SB-00012197</t>
  </si>
  <si>
    <t>SVT-STR-MPRO-Max-119W-35-CRI90-5700K-DUO</t>
  </si>
  <si>
    <t>SB-00012198</t>
  </si>
  <si>
    <t>SVT-STR-MPRO-Max-119W-65-CRI90-5700K-DUO</t>
  </si>
  <si>
    <t>SB-00012199</t>
  </si>
  <si>
    <t>SVT-STR-MPRO-Max-119W-20-CRI90-5700K-TRIO</t>
  </si>
  <si>
    <t>SB-00012200</t>
  </si>
  <si>
    <t>SVT-STR-MPRO-Max-119W-35-CRI90-5700K-TRIO</t>
  </si>
  <si>
    <t>SB-00012201</t>
  </si>
  <si>
    <t>SVT-STR-MPRO-Max-119W-65-CRI90-5700K-TRIO</t>
  </si>
  <si>
    <t>SB-00012202</t>
  </si>
  <si>
    <t>SVT-STR-MPRO-Max-155W-20-CRI90-5700K-DUO</t>
  </si>
  <si>
    <t>SB-00012203</t>
  </si>
  <si>
    <t>SVT-STR-MPRO-Max-155W-35-CRI90-5700K-DUO</t>
  </si>
  <si>
    <t>SB-00012204</t>
  </si>
  <si>
    <t>SVT-STR-MPRO-Max-155W-65-CRI90-5700K-DUO</t>
  </si>
  <si>
    <t>SB-00012205</t>
  </si>
  <si>
    <t>SVT-STR-MPRO-Max-155W-20-CRI90-5700K-TRIO</t>
  </si>
  <si>
    <t>SB-00012206</t>
  </si>
  <si>
    <t>SVT-STR-MPRO-Max-155W-35-CRI90-5700K-TRIO</t>
  </si>
  <si>
    <t>SB-00012207</t>
  </si>
  <si>
    <t>SVT-STR-MPRO-Max-155W-65-CRI90-5700K-TRIO</t>
  </si>
  <si>
    <t>SB-00012208</t>
  </si>
  <si>
    <t>SVT-STR-MPRO-Max-155W-20-CRI90-5700K-QUATTRO</t>
  </si>
  <si>
    <t>SB-00012209</t>
  </si>
  <si>
    <t>SVT-STR-MPRO-Max-155W-35-CRI90-5700K-QUATTRO</t>
  </si>
  <si>
    <t>SB-00012210</t>
  </si>
  <si>
    <t>SVT-STR-MPRO-Max-155W-65-CRI90-5700K-QUATTRO</t>
  </si>
  <si>
    <t>SB-00012211</t>
  </si>
  <si>
    <t>PRO-SPORT-CRI80</t>
  </si>
  <si>
    <t>SVT-STR-MPRO-53W-20-CRI80-5700K</t>
  </si>
  <si>
    <t>SB-00012212</t>
  </si>
  <si>
    <t>80+</t>
  </si>
  <si>
    <t>SVT-STR-MPRO-53W-35-CRI80-5700K</t>
  </si>
  <si>
    <t>SB-00012213</t>
  </si>
  <si>
    <t>SVT-STR-MPRO-53W-65-CRI80-5700K</t>
  </si>
  <si>
    <t>SB-00012214</t>
  </si>
  <si>
    <t>SVT-STR-MPRO-79W-20-CRI80-5700K</t>
  </si>
  <si>
    <t>SB-00012215</t>
  </si>
  <si>
    <t>SVT-STR-MPRO-79W-35-CRI80-5700K</t>
  </si>
  <si>
    <t>SB-00012216</t>
  </si>
  <si>
    <t>SVT-STR-MPRO-79W-65-CRI80-5700K</t>
  </si>
  <si>
    <t>SB-00012217</t>
  </si>
  <si>
    <t>SVT-STR-MPRO-102W-20-CRI80-5700K</t>
  </si>
  <si>
    <t>SB-00012218</t>
  </si>
  <si>
    <t>SVT-STR-MPRO-102W-35-CRI80-5700K</t>
  </si>
  <si>
    <t>SB-00012219</t>
  </si>
  <si>
    <t>SVT-STR-MPRO-102W-65-CRI80-5700K</t>
  </si>
  <si>
    <t>SB-00012220</t>
  </si>
  <si>
    <t>SVT-STR-MPRO-79W-20-CRI80-5700K-DUO</t>
  </si>
  <si>
    <t>SB-00012221</t>
  </si>
  <si>
    <t>SVT-STR-MPRO-79W-35-CRI80-5700K-DUO</t>
  </si>
  <si>
    <t>SB-00012222</t>
  </si>
  <si>
    <t>SVT-STR-MPRO-79W-65-CRI80-5700K-DUO</t>
  </si>
  <si>
    <t>SB-00012223</t>
  </si>
  <si>
    <t>SVT-STR-MPRO-79W-20-CRI80-5700K-TRIO</t>
  </si>
  <si>
    <t>SB-00012224</t>
  </si>
  <si>
    <t>SVT-STR-MPRO-79W-35-CRI80-5700K-TRIO</t>
  </si>
  <si>
    <t>SB-00012225</t>
  </si>
  <si>
    <t>SVT-STR-MPRO-79W-65-CRI80-5700K-TRIO</t>
  </si>
  <si>
    <t>SB-00012226</t>
  </si>
  <si>
    <t>SVT-STR-MPRO-102W-20-CRI80-5700K-DUO</t>
  </si>
  <si>
    <t>SB-00012227</t>
  </si>
  <si>
    <t>SVT-STR-MPRO-102W-35-CRI80-5700K-DUO</t>
  </si>
  <si>
    <t>SB-00012228</t>
  </si>
  <si>
    <t>SVT-STR-MPRO-102W-65-CRI80-5700K-DUO</t>
  </si>
  <si>
    <t>SB-00012229</t>
  </si>
  <si>
    <t>SVT-STR-MPRO-102W-20-CRI80-5700K-TRIO</t>
  </si>
  <si>
    <t>SB-00012230</t>
  </si>
  <si>
    <t>SVT-STR-MPRO-102W-35-CRI80-5700K-TRIO</t>
  </si>
  <si>
    <t>SB-00012231</t>
  </si>
  <si>
    <t>SVT-STR-MPRO-102W-65-CRI80-5700K-TRIO</t>
  </si>
  <si>
    <t>SB-00012232</t>
  </si>
  <si>
    <t>SVT-STR-MPRO-102W-20-CRI80-5700K-QUATTRO</t>
  </si>
  <si>
    <t>SB-00012233</t>
  </si>
  <si>
    <t>SVT-STR-MPRO-102W-35-CRI80-5700K-QUATTRO</t>
  </si>
  <si>
    <t>SB-00012234</t>
  </si>
  <si>
    <t>SVT-STR-MPRO-102W-65-CRI80-5700K-QUATTRO</t>
  </si>
  <si>
    <t>SB-00012235</t>
  </si>
  <si>
    <t>SVT-STR-MPRO-61W-CRI80-5700K</t>
  </si>
  <si>
    <t>SB-00012236</t>
  </si>
  <si>
    <t>SVT-STR-MPRO-61W-CRI80-5700K-DUO</t>
  </si>
  <si>
    <t>SB-00012237</t>
  </si>
  <si>
    <t>SVT-STR-MPRO-61W-CRI80-5700K-TRIO</t>
  </si>
  <si>
    <t>SB-00012238</t>
  </si>
  <si>
    <t>SVT-STR-MPRO-96W-CRI80-5700K</t>
  </si>
  <si>
    <t>SB-00012239</t>
  </si>
  <si>
    <t>SVT-STR-MPRO-96W-CRI80-5700K-DUO</t>
  </si>
  <si>
    <t>SB-00012240</t>
  </si>
  <si>
    <t>SVT-STR-MPRO-96W-CRI80-5700K-TRIO</t>
  </si>
  <si>
    <t>SB-00012241</t>
  </si>
  <si>
    <t>SVT-STR-MPRO-96W-CRI80-5700K-QUATTRO</t>
  </si>
  <si>
    <t>SB-00012242</t>
  </si>
  <si>
    <t>MAX-SPORT-CRI80</t>
  </si>
  <si>
    <t>SVT-STR-MPRO-Max-81W-20-CRI80-5700K</t>
  </si>
  <si>
    <t>SB-00012243</t>
  </si>
  <si>
    <t>SVT-STR-MPRO-Max-81W-35-CRI80-5700K</t>
  </si>
  <si>
    <t>SB-00012244</t>
  </si>
  <si>
    <t>SVT-STR-MPRO-Max-81W-65-CRI80-5700K</t>
  </si>
  <si>
    <t>SB-00012245</t>
  </si>
  <si>
    <t>SVT-STR-MPRO-Max-119W-20-CRI80-5700K</t>
  </si>
  <si>
    <t>SB-00012246</t>
  </si>
  <si>
    <t>SVT-STR-MPRO-Max-119W-35-CRI80-5700K</t>
  </si>
  <si>
    <t>SB-00012247</t>
  </si>
  <si>
    <t>SVT-STR-MPRO-Max-119W-65-CRI80-5700K</t>
  </si>
  <si>
    <t>SB-00012248</t>
  </si>
  <si>
    <t>SVT-STR-MPRO-Max-155W-20-CRI80-5700K</t>
  </si>
  <si>
    <t>SB-00012249</t>
  </si>
  <si>
    <t>SVT-STR-MPRO-Max-155W-35-CRI80-5700K</t>
  </si>
  <si>
    <t>SB-00012250</t>
  </si>
  <si>
    <t>SVT-STR-MPRO-Max-155W-65-CRI80-5700K</t>
  </si>
  <si>
    <t>SB-00012251</t>
  </si>
  <si>
    <t>SVT-STR-MPRO-Max-119W-20-CRI80-5700K-DUO</t>
  </si>
  <si>
    <t>SB-00012252</t>
  </si>
  <si>
    <t>SVT-STR-MPRO-Max-119W-35-CRI80-5700K-DUO</t>
  </si>
  <si>
    <t>SB-00012253</t>
  </si>
  <si>
    <t>SVT-STR-MPRO-Max-119W-65-CRI80-5700K-DUO</t>
  </si>
  <si>
    <t>SB-00012254</t>
  </si>
  <si>
    <t>SVT-STR-MPRO-Max-119W-20-CRI80-5700K-TRIO</t>
  </si>
  <si>
    <t>SB-00012255</t>
  </si>
  <si>
    <t>SVT-STR-MPRO-Max-119W-35-CRI80-5700K-TRIO</t>
  </si>
  <si>
    <t>SB-00012256</t>
  </si>
  <si>
    <t>SVT-STR-MPRO-Max-119W-65-CRI80-5700K-TRIO</t>
  </si>
  <si>
    <t>SB-00012257</t>
  </si>
  <si>
    <t>SVT-STR-MPRO-Max-155W-20-CRI80-5700K-DUO</t>
  </si>
  <si>
    <t>SB-00012258</t>
  </si>
  <si>
    <t>SVT-STR-MPRO-Max-155W-35-CRI80-5700K-DUO</t>
  </si>
  <si>
    <t>SB-00012259</t>
  </si>
  <si>
    <t>SVT-STR-MPRO-Max-155W-65-CRI80-5700K-DUO</t>
  </si>
  <si>
    <t>SB-00012260</t>
  </si>
  <si>
    <t>SVT-STR-MPRO-Max-155W-20-CRI80-5700K-TRIO</t>
  </si>
  <si>
    <t>SB-00012261</t>
  </si>
  <si>
    <t>SVT-STR-MPRO-Max-155W-35-CRI80-5700K-TRIO</t>
  </si>
  <si>
    <t>SB-00012262</t>
  </si>
  <si>
    <t>SVT-STR-MPRO-Max-155W-65-CRI80-5700K-TRIO</t>
  </si>
  <si>
    <t>SB-00012263</t>
  </si>
  <si>
    <t>SVT-STR-MPRO-Max-155W-20-CRI80-5700K-QUATTRO</t>
  </si>
  <si>
    <t>SB-00012264</t>
  </si>
  <si>
    <t>SVT-STR-MPRO-Max-155W-35-CRI80-5700K-QUATTRO</t>
  </si>
  <si>
    <t>SB-00012265</t>
  </si>
  <si>
    <t>SVT-STR-MPRO-Max-155W-65-CRI80-5700K-QUATTRO</t>
  </si>
  <si>
    <t>SB-00012266</t>
  </si>
  <si>
    <t>Fort</t>
  </si>
  <si>
    <t>SVT-P-Fort-300-12W</t>
  </si>
  <si>
    <t>SB-00004422</t>
  </si>
  <si>
    <t>Прозрачный поликарбонат</t>
  </si>
  <si>
    <t>Samsung LM281B+ 25шт</t>
  </si>
  <si>
    <t>140мА</t>
  </si>
  <si>
    <t>Поворотный кронштейн 2шт.</t>
  </si>
  <si>
    <t>300х70х65</t>
  </si>
  <si>
    <t>SVT-P-Fort-600-24W</t>
  </si>
  <si>
    <t>SB-00004423</t>
  </si>
  <si>
    <t>Samsung LM281B+ 50шт</t>
  </si>
  <si>
    <t>600х70х65</t>
  </si>
  <si>
    <t>SVT-P-Fort-900-36W</t>
  </si>
  <si>
    <t>SB-00004424</t>
  </si>
  <si>
    <t>Samsung LM281B+ 75шт</t>
  </si>
  <si>
    <t>900х70х65</t>
  </si>
  <si>
    <t>SVT-P-Fort-1200-50W</t>
  </si>
  <si>
    <t>SB-00004420</t>
  </si>
  <si>
    <t>Samsung LM281B+ 100шт</t>
  </si>
  <si>
    <t>1200х70х65</t>
  </si>
  <si>
    <t>SVT-P-Fort-1500-64W</t>
  </si>
  <si>
    <t>SB-00004421</t>
  </si>
  <si>
    <t>1500х70х65</t>
  </si>
  <si>
    <t>COB</t>
  </si>
  <si>
    <t>Боросиликатная линза с антибликовой насечкой</t>
  </si>
  <si>
    <t>Samsung COB G2 1 шт</t>
  </si>
  <si>
    <t>1050мА</t>
  </si>
  <si>
    <t>Г, 45</t>
  </si>
  <si>
    <t>Ш, 135x75</t>
  </si>
  <si>
    <t>UL</t>
  </si>
  <si>
    <t>SVT-P-UL-35W</t>
  </si>
  <si>
    <t>SB-00004489</t>
  </si>
  <si>
    <t>Прозрачный поликарбонат 3мм</t>
  </si>
  <si>
    <t>80+ * - по умолчанию</t>
  </si>
  <si>
    <t>Samsung LM281B 81шт</t>
  </si>
  <si>
    <t>117mA</t>
  </si>
  <si>
    <t>390х85х150</t>
  </si>
  <si>
    <t>SVT-P-UL-50W</t>
  </si>
  <si>
    <t>SB-00004497</t>
  </si>
  <si>
    <t>Samsung LM281B 126шт</t>
  </si>
  <si>
    <t>340х85х150</t>
  </si>
  <si>
    <t>SVT-P-UL-70W</t>
  </si>
  <si>
    <t>SB-00004500</t>
  </si>
  <si>
    <t>Samsung LM281B 162шт</t>
  </si>
  <si>
    <t>652х85х150</t>
  </si>
  <si>
    <t>SVT-P-UL-100W</t>
  </si>
  <si>
    <t>SB-00004474</t>
  </si>
  <si>
    <t>Samsung LM281B 252шт</t>
  </si>
  <si>
    <t>SVT-P-UL-150W-1M</t>
  </si>
  <si>
    <t>SB-00004484</t>
  </si>
  <si>
    <t>Samsung LM281B 378шт</t>
  </si>
  <si>
    <t>945х85х150</t>
  </si>
  <si>
    <t>SVT-P-UL-100W DUO</t>
  </si>
  <si>
    <t>SB-00004478</t>
  </si>
  <si>
    <t>Samsung LM281B 504шт</t>
  </si>
  <si>
    <t>652х180х150</t>
  </si>
  <si>
    <t>SVT-P-UL-100W TRIO</t>
  </si>
  <si>
    <t>SB-00004481</t>
  </si>
  <si>
    <t>Samsung LM281B 756шт</t>
  </si>
  <si>
    <t>652х270х150</t>
  </si>
  <si>
    <t>SVT-P-UL-100W QUATTRO</t>
  </si>
  <si>
    <t>SB-00004480</t>
  </si>
  <si>
    <t>Samsung LM281B 1008шт</t>
  </si>
  <si>
    <t>652х360х150</t>
  </si>
  <si>
    <t>ARM-AIR</t>
  </si>
  <si>
    <t>SVT-ARM-U-AIR-1195x200x34-29W-IP54-PR</t>
  </si>
  <si>
    <t>SB-00009722</t>
  </si>
  <si>
    <t>Д, 90</t>
  </si>
  <si>
    <t>&gt;0,95</t>
  </si>
  <si>
    <t>Luxdator</t>
  </si>
  <si>
    <t>Призматический полистирол (опц. Колотый лёд)</t>
  </si>
  <si>
    <t>Everlight 0,5W 72шт</t>
  </si>
  <si>
    <t>Полистирол</t>
  </si>
  <si>
    <t>Накладное/встраиваемое</t>
  </si>
  <si>
    <t>1195x200x34</t>
  </si>
  <si>
    <t xml:space="preserve"> +1°/+30° С</t>
  </si>
  <si>
    <t>30 000 ч</t>
  </si>
  <si>
    <t>Айсберг v2</t>
  </si>
  <si>
    <t>SVT-P-I-v2-1200-36W-IP65-M</t>
  </si>
  <si>
    <t>SB-00011275</t>
  </si>
  <si>
    <t>Матовый</t>
  </si>
  <si>
    <t>Samsung LM281B+ 90шт</t>
  </si>
  <si>
    <t>Поликарбонат</t>
  </si>
  <si>
    <t>Накладное/подвесное</t>
  </si>
  <si>
    <t>1200x76x76</t>
  </si>
  <si>
    <t>SVT-P-I-v2-1200-36W-IP65-M-InBat</t>
  </si>
  <si>
    <t>SB-00011276</t>
  </si>
  <si>
    <t>3 года. Срок службы АКБ 2 года. Замена и обслуживание АКБ в гарантию не входит.</t>
  </si>
  <si>
    <t>Трион (аварийный режим: 2 часа, 10% яркости)</t>
  </si>
  <si>
    <t xml:space="preserve"> +1°/+40° С</t>
  </si>
  <si>
    <t>SVT-P-I-v2-1200-36W-IP65-M-0-10V</t>
  </si>
  <si>
    <t>SB-00011277</t>
  </si>
  <si>
    <t>Аргос управление по 0-10В/ШИМ/резистор 0-100кОм</t>
  </si>
  <si>
    <t>SVT-P-I-v2-1200-36W-IP65-M-DALI</t>
  </si>
  <si>
    <t>SB-00011278</t>
  </si>
  <si>
    <t>Аргос управление по DALI</t>
  </si>
  <si>
    <t>SVT-P-I-v2-1200-36W-IP65-M-DR</t>
  </si>
  <si>
    <t>3800 / 800</t>
  </si>
  <si>
    <t>36 / 7</t>
  </si>
  <si>
    <t>SB-00011279</t>
  </si>
  <si>
    <t>Аргос + дежурный режим 100%/20%</t>
  </si>
  <si>
    <t>SVT-P-I-v2-1200-36W-IP65-M-DR-ZD</t>
  </si>
  <si>
    <t>SB-00011280</t>
  </si>
  <si>
    <t>Аргос + акустический датчки + дежурный режим 100%/20%</t>
  </si>
  <si>
    <t>SVT-P-I-v2-1200-36W-IP65-M-ZD</t>
  </si>
  <si>
    <t>SB-00011281</t>
  </si>
  <si>
    <t>Аргос + акустический датчки</t>
  </si>
  <si>
    <t>SVT-P-I-v2-1200-36W-IP65-M-Ultra</t>
  </si>
  <si>
    <t>SB-00011282</t>
  </si>
  <si>
    <t>Samsung LM281B+ 180шт</t>
  </si>
  <si>
    <t>SVT-P-I-v2-300-12W-IP65-M</t>
  </si>
  <si>
    <t>SB-00011283</t>
  </si>
  <si>
    <t>300x76x76</t>
  </si>
  <si>
    <t>SVT-P-I-v2-600-24W-IP65-M</t>
  </si>
  <si>
    <t>SB-00011284</t>
  </si>
  <si>
    <t>600x76x76</t>
  </si>
  <si>
    <t>SVT-P-I-v2-900-36W-IP65-M</t>
  </si>
  <si>
    <t>SB-00011285</t>
  </si>
  <si>
    <t>900x76x76</t>
  </si>
  <si>
    <t>SVT-P-I-v2-1200-48W-IP65-M</t>
  </si>
  <si>
    <t>SB-00011286</t>
  </si>
  <si>
    <t>Samsung LM281B+ 126шт</t>
  </si>
  <si>
    <t>SVT-P-I-v2-1500-60W-IP65-M</t>
  </si>
  <si>
    <t>SB-00011287</t>
  </si>
  <si>
    <t>1500x76x76</t>
  </si>
  <si>
    <t>SVT-P-I-v2-1500-60W-IP65-M-EM-3h</t>
  </si>
  <si>
    <t>SB-00011288</t>
  </si>
  <si>
    <t>Аргос, с БАП (аварийный режим: 3 часа, 5% яркости)</t>
  </si>
  <si>
    <t>SVT-P-I-v2-1500-60W-IP65-M-0-10V</t>
  </si>
  <si>
    <t>SB-00011289</t>
  </si>
  <si>
    <t>Аргос управление по 0-10В/ШИМ</t>
  </si>
  <si>
    <t>SVT-P-I-v2-1500-60W-IP65-M-DALI</t>
  </si>
  <si>
    <t>SB-00011290</t>
  </si>
  <si>
    <t>SVT-ARM-U-AIR-1195x200x34-29W-IP54-PR-InBat</t>
  </si>
  <si>
    <t>SB-00009724</t>
  </si>
  <si>
    <t>Трион</t>
  </si>
  <si>
    <t>Айсберг</t>
  </si>
  <si>
    <t>SVT-P-I-1280-30W-T</t>
  </si>
  <si>
    <t>SB-00004428</t>
  </si>
  <si>
    <t>ЮПЗ</t>
  </si>
  <si>
    <t>Прозрачный</t>
  </si>
  <si>
    <t>Edison 0,5W 48шт</t>
  </si>
  <si>
    <t>175мА</t>
  </si>
  <si>
    <t>Пластиковый корпус из ABS. Рассеиватель из полимерного пластика SAN.</t>
  </si>
  <si>
    <t>Накалдное на специальные скобы</t>
  </si>
  <si>
    <t>1270х152х100</t>
  </si>
  <si>
    <t>SVT-P-I-1280-30W-M</t>
  </si>
  <si>
    <t>SB-00004426</t>
  </si>
  <si>
    <t>SVT-P-I-1280-40W-T</t>
  </si>
  <si>
    <t>SB-00004431</t>
  </si>
  <si>
    <t>Edison 0,5W 64шт</t>
  </si>
  <si>
    <t>SVT-P-I-1280-40W-M</t>
  </si>
  <si>
    <t>SB-00004430</t>
  </si>
  <si>
    <t>SVT-P-I-1280-50W-T</t>
  </si>
  <si>
    <t>SB-00004433</t>
  </si>
  <si>
    <t>Edison 0,5W 80шт</t>
  </si>
  <si>
    <t>SVT-P-I-1280-50W-M</t>
  </si>
  <si>
    <t>SB-00004432</t>
  </si>
  <si>
    <t>SVT-P-I-1280-65W-T</t>
  </si>
  <si>
    <t>SB-00004435</t>
  </si>
  <si>
    <t>Samsung LM281B+ 156шт</t>
  </si>
  <si>
    <t>SVT-P-I-1280-65W-M</t>
  </si>
  <si>
    <t>SB-00004434</t>
  </si>
  <si>
    <t>Накладное</t>
  </si>
  <si>
    <t>Шар</t>
  </si>
  <si>
    <t>SVT-STR-Ball-300-40W-M</t>
  </si>
  <si>
    <t>SB-00011803</t>
  </si>
  <si>
    <t>М, 180</t>
  </si>
  <si>
    <t>200-240В АС, 50Гц</t>
  </si>
  <si>
    <t>SVT</t>
  </si>
  <si>
    <t>5000K</t>
  </si>
  <si>
    <t>Samsung 2835 168шт</t>
  </si>
  <si>
    <t>65мА</t>
  </si>
  <si>
    <t>ПММА диаметр 300мм</t>
  </si>
  <si>
    <t>Торшерное на трубу диаметром до 63мм</t>
  </si>
  <si>
    <t>д.300</t>
  </si>
  <si>
    <t>50 000 ч</t>
  </si>
  <si>
    <t>SVT-STR-Ball-300-40W-T</t>
  </si>
  <si>
    <t>SB-00011857</t>
  </si>
  <si>
    <t>50мА</t>
  </si>
  <si>
    <t>SVT-STR-Ball-300-40W-G</t>
  </si>
  <si>
    <t>SB-00011858</t>
  </si>
  <si>
    <t>Золотистый</t>
  </si>
  <si>
    <t>SVT-STR-Ball-300-30W-M</t>
  </si>
  <si>
    <t>SB-00011859</t>
  </si>
  <si>
    <t>SVT-STR-Ball-300-30W-T</t>
  </si>
  <si>
    <t>SB-00011860</t>
  </si>
  <si>
    <t>SVT-STR-Ball-300-30W-G</t>
  </si>
  <si>
    <t>SB-00011861</t>
  </si>
  <si>
    <t>Пушкинский</t>
  </si>
  <si>
    <t>SVT-STR-Retro-40W-M-3000K</t>
  </si>
  <si>
    <t>SB-00012885</t>
  </si>
  <si>
    <t>Аргос/Трион</t>
  </si>
  <si>
    <t>Матовый ПММА</t>
  </si>
  <si>
    <t>3000K</t>
  </si>
  <si>
    <t>УФ-стойкий ударопрочный поликарбонат</t>
  </si>
  <si>
    <t>Торшерное на трубу диаметром 60мм</t>
  </si>
  <si>
    <t>370x370x670</t>
  </si>
  <si>
    <t>SVT-STR-Retro-40W-M-4000K</t>
  </si>
  <si>
    <t>SB-00012886</t>
  </si>
  <si>
    <t>4000K</t>
  </si>
  <si>
    <t>SVT-STR-Retro-40W-M-5000K</t>
  </si>
  <si>
    <t>SB-00012887</t>
  </si>
  <si>
    <t>Mini-прожектор MX</t>
  </si>
  <si>
    <t>SVT-STR-MX-9W-25-3000К</t>
  </si>
  <si>
    <t>SB-00009120</t>
  </si>
  <si>
    <t>К, 25</t>
  </si>
  <si>
    <t>3000К</t>
  </si>
  <si>
    <t>Osram 5050 4шт</t>
  </si>
  <si>
    <t>Формованный листовой алюминий с порошковой окраской</t>
  </si>
  <si>
    <t>100х100х150</t>
  </si>
  <si>
    <t>SVT-STR-MX-9W-65-3000К</t>
  </si>
  <si>
    <t>SB-00009121</t>
  </si>
  <si>
    <t>Mini-прожектор 2MX</t>
  </si>
  <si>
    <t>SVT-STR-2MX-18W-25-3000К-DS</t>
  </si>
  <si>
    <t>SB-00009122</t>
  </si>
  <si>
    <t>Два луча К, 25</t>
  </si>
  <si>
    <t>Osram 5050 8шт</t>
  </si>
  <si>
    <t>175mA</t>
  </si>
  <si>
    <t>SVT-STR-2MX-18W-65-3000К-DS</t>
  </si>
  <si>
    <t>SB-00009123</t>
  </si>
  <si>
    <t>Два луча Г, 65</t>
  </si>
  <si>
    <t>SVT-STR-2MX-9W-25-3000К-DS</t>
  </si>
  <si>
    <t>SB-00009124</t>
  </si>
  <si>
    <t>SVT-STR-2MX-9W-65-3000К-DS</t>
  </si>
  <si>
    <t>SB-00009125</t>
  </si>
  <si>
    <t>Dual</t>
  </si>
  <si>
    <t>SVT-ARH-DS-27W-12</t>
  </si>
  <si>
    <t>SB-00004214</t>
  </si>
  <si>
    <t>Samsung LH351B 24шт</t>
  </si>
  <si>
    <t>350mA</t>
  </si>
  <si>
    <t>250х90х155</t>
  </si>
  <si>
    <t>SVT-ARH-DS-27W-27</t>
  </si>
  <si>
    <t>SB-00004215</t>
  </si>
  <si>
    <t>SVT-ARH-DS-27W-58</t>
  </si>
  <si>
    <t>SB-00004216</t>
  </si>
  <si>
    <t>DMX-прожекторы</t>
  </si>
  <si>
    <t>SVT-STR-RGB-MPRO-27W-58-DMX</t>
  </si>
  <si>
    <t>SB-00009766</t>
  </si>
  <si>
    <t>MeanWell, DMX декодер</t>
  </si>
  <si>
    <t>RGB</t>
  </si>
  <si>
    <t>ProLight</t>
  </si>
  <si>
    <t>600мА</t>
  </si>
  <si>
    <t>Экструдированный анодированный алюминиевый профиль</t>
  </si>
  <si>
    <t>SVT-STR-RGB-MPRO-53W-58-DMX</t>
  </si>
  <si>
    <t>SB-00009143</t>
  </si>
  <si>
    <t>Fort Архитектурный</t>
  </si>
  <si>
    <t>SVT-ARH-Fort-600-25W-120</t>
  </si>
  <si>
    <t>SB-00009178</t>
  </si>
  <si>
    <t>Аргос (с защитой от 380В)</t>
  </si>
  <si>
    <t>Поликарбонат Turlens, прозрачный компаунд</t>
  </si>
  <si>
    <t>Литой экструдированный алюминиевый анодированный профиль. Диоды залиты защитным компаундом.</t>
  </si>
  <si>
    <t>Универсальный поворотный кронштейн 1шт.</t>
  </si>
  <si>
    <t>SVT-ARH-Fort-600-25W-15</t>
  </si>
  <si>
    <t>SB-00006456</t>
  </si>
  <si>
    <t>К, 15</t>
  </si>
  <si>
    <t>SVT-ARH-Fort-600-25W-25</t>
  </si>
  <si>
    <t>SB-00006460</t>
  </si>
  <si>
    <t>SVT-ARH-Fort-600-25W-45</t>
  </si>
  <si>
    <t>SB-00006464</t>
  </si>
  <si>
    <t>SVT-ARH-Fort-600-25W-10x60</t>
  </si>
  <si>
    <t>SB-00006468</t>
  </si>
  <si>
    <t>Овал 10x60</t>
  </si>
  <si>
    <t>SVT-ARH-Fort-900-38W-120</t>
  </si>
  <si>
    <t>SB-00009177</t>
  </si>
  <si>
    <t>Поликарбонат, прозрачный компаунд</t>
  </si>
  <si>
    <t>Samsung LH351B 36шт</t>
  </si>
  <si>
    <t>Универсальный поворотный кронштейн 2шт.</t>
  </si>
  <si>
    <t>SVT-ARH-Fort-900-38W-15</t>
  </si>
  <si>
    <t>SB-00006457</t>
  </si>
  <si>
    <t>SVT-ARH-Fort-900-38W-25</t>
  </si>
  <si>
    <t>SB-00006461</t>
  </si>
  <si>
    <t>SVT-ARH-Fort-900-38W-45</t>
  </si>
  <si>
    <t>SB-00006465</t>
  </si>
  <si>
    <t>SVT-ARH-Fort-900-38W-10x60</t>
  </si>
  <si>
    <t>SB-00006469</t>
  </si>
  <si>
    <t>SVT-ARH-Fort-1200-52W-120</t>
  </si>
  <si>
    <t>SB-00009176</t>
  </si>
  <si>
    <t>Samsung LH351B 48шт</t>
  </si>
  <si>
    <t>SVT-ARH-Fort-1200-52W-15</t>
  </si>
  <si>
    <t>SB-00006458</t>
  </si>
  <si>
    <t>SVT-ARH-Fort-1200-52W-25</t>
  </si>
  <si>
    <t>SB-00006462</t>
  </si>
  <si>
    <t>SVT-ARH-Fort-1200-52W-45</t>
  </si>
  <si>
    <t>SB-00006466</t>
  </si>
  <si>
    <t>SVT-ARH-Fort-1200-52W-10x60</t>
  </si>
  <si>
    <t>SB-00006470</t>
  </si>
  <si>
    <t>SVT-ARH-Fort-1500-65W-120</t>
  </si>
  <si>
    <t>SB-00009175</t>
  </si>
  <si>
    <t>Samsung LH351B 60шт</t>
  </si>
  <si>
    <t>SVT-ARH-Fort-1500-65W-15</t>
  </si>
  <si>
    <t>SB-00006459</t>
  </si>
  <si>
    <t>SVT-ARH-Fort-1500-65W-25</t>
  </si>
  <si>
    <t>SB-00006463</t>
  </si>
  <si>
    <t>SVT-ARH-Fort-1500-65W-45</t>
  </si>
  <si>
    <t>SB-00006467</t>
  </si>
  <si>
    <t>SVT-ARH-Fort-1500-65W-10x60</t>
  </si>
  <si>
    <t>SB-00006471</t>
  </si>
  <si>
    <t>Луч</t>
  </si>
  <si>
    <t>SVT-ARH-Luch-935-36W-120-KR</t>
  </si>
  <si>
    <t>SB-00007845</t>
  </si>
  <si>
    <t>Прозрачный компаунд</t>
  </si>
  <si>
    <t>Литой экструдированный алюминиевый анодированный профиль. Диоды залиты  защитным компаундом **</t>
  </si>
  <si>
    <t>935х30х25</t>
  </si>
  <si>
    <t>SVT-ARH-Luch-935-36W-15-KR</t>
  </si>
  <si>
    <t>SB-00007846</t>
  </si>
  <si>
    <t>SVT-ARH-Luch-935-36W-25-KR</t>
  </si>
  <si>
    <t>SB-00007847</t>
  </si>
  <si>
    <t>SVT-ARH-Luch-935-36W-45-KR</t>
  </si>
  <si>
    <t>SB-00007848</t>
  </si>
  <si>
    <t>SVT-ARH-Luch-935-36W-10x60-KR</t>
  </si>
  <si>
    <t>SB-00007849</t>
  </si>
  <si>
    <t>SVT-ARH-Luch-635-24W-120-KR</t>
  </si>
  <si>
    <t>SB-00007850</t>
  </si>
  <si>
    <t>635х30х25</t>
  </si>
  <si>
    <t>SVT-ARH-Luch-635-24W-15-KR</t>
  </si>
  <si>
    <t>SB-00007851</t>
  </si>
  <si>
    <t>SVT-ARH-Luch-635-24W-25-KR</t>
  </si>
  <si>
    <t>SB-00007852</t>
  </si>
  <si>
    <t>SVT-ARH-Luch-635-24W-45-KR</t>
  </si>
  <si>
    <t>SB-00007853</t>
  </si>
  <si>
    <t>SVT-ARH-Luch-635-24W-10x60-KR</t>
  </si>
  <si>
    <t>SB-00007854</t>
  </si>
  <si>
    <t>Луч-24V DC</t>
  </si>
  <si>
    <t>SVT-ARH-Luch-1010-36W-120-24V DC-KR</t>
  </si>
  <si>
    <t>SB-00007479</t>
  </si>
  <si>
    <t>24V DC</t>
  </si>
  <si>
    <t>1010х30х25</t>
  </si>
  <si>
    <t>SVT-ARH-Luch-1010-36W-15-24V DC-KR</t>
  </si>
  <si>
    <t>SB-00007480</t>
  </si>
  <si>
    <t>SVT-ARH-Luch-1010-36W-25-24V DC-KR</t>
  </si>
  <si>
    <t>SB-00007481</t>
  </si>
  <si>
    <t>SVT-ARH-Luch-1010-36W-45-24V DC-KR</t>
  </si>
  <si>
    <t>SB-00007482</t>
  </si>
  <si>
    <t>SVT-ARH-Luch-1010-36W-10x60-24V DC-KR</t>
  </si>
  <si>
    <t>SB-00007483</t>
  </si>
  <si>
    <t>SVT-ARH-Luch-685-24W-120-24V DC-KR</t>
  </si>
  <si>
    <t>SB-00007484</t>
  </si>
  <si>
    <t>685х30х25</t>
  </si>
  <si>
    <t>SVT-ARH-Luch-685-24W-15-24V DC-KR</t>
  </si>
  <si>
    <t>SB-00007485</t>
  </si>
  <si>
    <t>SVT-ARH-Luch-685-24W-25-24V DC-KR</t>
  </si>
  <si>
    <t>SB-00007486</t>
  </si>
  <si>
    <t>SVT-ARH-Luch-685-24W-45-24V DC-KR</t>
  </si>
  <si>
    <t>SB-00007487</t>
  </si>
  <si>
    <t>SVT-ARH-Luch-685-24W-10x60-24V DC-KR</t>
  </si>
  <si>
    <t>SB-00007488</t>
  </si>
  <si>
    <t>SVT-ARH-Luch-360-12W-120-24V DC-KR</t>
  </si>
  <si>
    <t>SB-00007489</t>
  </si>
  <si>
    <t>Samsung LH351B 12шт</t>
  </si>
  <si>
    <t>360х30х25</t>
  </si>
  <si>
    <t>SVT-ARH-Luch-360-12W-15-24V DC-KR</t>
  </si>
  <si>
    <t>SB-00007490</t>
  </si>
  <si>
    <t>SVT-ARH-Luch-360-12W-25-24V DC-KR</t>
  </si>
  <si>
    <t>SB-00007491</t>
  </si>
  <si>
    <t>SVT-ARH-Luch-360-12W-45-24V DC-KR</t>
  </si>
  <si>
    <t>SB-00007492</t>
  </si>
  <si>
    <t>SVT-ARH-Luch-360-12W-10x60-24V DC-KR</t>
  </si>
  <si>
    <t>SB-00007493</t>
  </si>
  <si>
    <t>SVT-ARM-U-AIR-595x595x34-29W-IP54-PR</t>
  </si>
  <si>
    <t>SB-00009321</t>
  </si>
  <si>
    <t>ЦСВТ</t>
  </si>
  <si>
    <t>595x595x34</t>
  </si>
  <si>
    <t>SVT-ARM-U-AIR-595x595x34-27W-IP54-PR (ultra)</t>
  </si>
  <si>
    <t>SB-00013282</t>
  </si>
  <si>
    <t>SVT-ARM-U-AIR-595x595x34-34W-IP54-PR</t>
  </si>
  <si>
    <t>SB-00012518</t>
  </si>
  <si>
    <t>Everlight 0,5W 84шт</t>
  </si>
  <si>
    <t>SVT-ARM-U-AIR-595x595x34-29W-PR-DALI-IP54</t>
  </si>
  <si>
    <t>SB-00009363</t>
  </si>
  <si>
    <t>SVT-ARM-U-AIR-595x595x34-29W-PR-Dimm-IP54</t>
  </si>
  <si>
    <t>SB-00009364</t>
  </si>
  <si>
    <t>SVT-ARM-U-AIR-595x595x34-29W-PR-InBat-IP54</t>
  </si>
  <si>
    <t>SB-00009365</t>
  </si>
  <si>
    <t>SVT-ARM-U-AIR-595x595x34-29W-IP54-PR-4000K-SC</t>
  </si>
  <si>
    <t>SB-00010161</t>
  </si>
  <si>
    <t>Everlight 0,5W 144шт</t>
  </si>
  <si>
    <t>SVT-ARM-U-AIR-1195x200x34-29W-IP54-PR-4000K-SC</t>
  </si>
  <si>
    <t>SB-00010162</t>
  </si>
  <si>
    <t>ARM-U</t>
  </si>
  <si>
    <t>Призматический полистирол**</t>
  </si>
  <si>
    <t>Формованная листовая сталь с порошковой окраской</t>
  </si>
  <si>
    <t>1200х180х40</t>
  </si>
  <si>
    <t>-20°/+40° С</t>
  </si>
  <si>
    <t>SVT-ARM-U-595x295x40-18W-PR</t>
  </si>
  <si>
    <t>SB-00004346</t>
  </si>
  <si>
    <t>Edison 0,5W 32шт</t>
  </si>
  <si>
    <t>595х295х40</t>
  </si>
  <si>
    <t>ARM-RP</t>
  </si>
  <si>
    <t>SB-00012894</t>
  </si>
  <si>
    <t>ЮПЗ/Аргос/Трион или иной по запросу</t>
  </si>
  <si>
    <t>4000К</t>
  </si>
  <si>
    <t>Samsung/Edison 2835 84шт</t>
  </si>
  <si>
    <t>Сталь с порошковой покраской</t>
  </si>
  <si>
    <t>Реечный потолок</t>
  </si>
  <si>
    <t>SB-00012895</t>
  </si>
  <si>
    <t>Трион c БАП на 2ч, 10%</t>
  </si>
  <si>
    <t>SVT-ARM-RP-706x310x100-17W-М-4000К</t>
  </si>
  <si>
    <t>SB-00012896</t>
  </si>
  <si>
    <t>Samsung/Edison 2835 42шт</t>
  </si>
  <si>
    <t>706x310x100</t>
  </si>
  <si>
    <t>595х595х40</t>
  </si>
  <si>
    <t>Накладное/встраиваемое в потолок армстронг</t>
  </si>
  <si>
    <t>ARM-G</t>
  </si>
  <si>
    <t>Накладное/встраиваемое в потолок грильято</t>
  </si>
  <si>
    <t>ARM-IP54</t>
  </si>
  <si>
    <t>Встраиваемое в потолок армстронг</t>
  </si>
  <si>
    <t>InRay</t>
  </si>
  <si>
    <t>SVT-OFF-Inray-900-36W-M-RB</t>
  </si>
  <si>
    <t>SB-00004407</t>
  </si>
  <si>
    <t>140mA</t>
  </si>
  <si>
    <t>Подвес</t>
  </si>
  <si>
    <t>900х50х50</t>
  </si>
  <si>
    <t>SVT-OFF-Inray-1200-48W-M-RB</t>
  </si>
  <si>
    <t>SB-00004401</t>
  </si>
  <si>
    <t>1200х50х50</t>
  </si>
  <si>
    <t>SVT-OFF-Inray-1500-60W-M-RB</t>
  </si>
  <si>
    <t>SB-00004404</t>
  </si>
  <si>
    <t>Samsung LM281B+ 125шт</t>
  </si>
  <si>
    <t>1500х50х50</t>
  </si>
  <si>
    <t>SVT-OFF-Inray-900-36W-M-DALI-RB</t>
  </si>
  <si>
    <t>SB-00004406</t>
  </si>
  <si>
    <t>Helvar с диммингом DALI</t>
  </si>
  <si>
    <t>SVT-OFF-Inray-1200-48W-M-DALI-RB</t>
  </si>
  <si>
    <t>SB-00004400</t>
  </si>
  <si>
    <t>SVT-OFF-Inray-1500-60W-M-DALI-RB</t>
  </si>
  <si>
    <t>SB-00004403</t>
  </si>
  <si>
    <t>SVT-OFF-Inray-1800-72W-M-DALI-RB</t>
  </si>
  <si>
    <t>SB-00004405</t>
  </si>
  <si>
    <t>Samsung LM281B+ 150шт</t>
  </si>
  <si>
    <t>1800х50х50</t>
  </si>
  <si>
    <t>Даунлайт</t>
  </si>
  <si>
    <t>SVT-OFF-DL-30W-4000K</t>
  </si>
  <si>
    <t>SB-00011314</t>
  </si>
  <si>
    <t>Аргос или аналог</t>
  </si>
  <si>
    <t>4000К*</t>
  </si>
  <si>
    <t>Honglitronic 120шт</t>
  </si>
  <si>
    <t>70мА</t>
  </si>
  <si>
    <t>Литой алюминий, АБС-пластик</t>
  </si>
  <si>
    <t>Встраиваемый в потолок из гипсокартона. Диаметр врезного отверстия 200мм.</t>
  </si>
  <si>
    <t>230x40</t>
  </si>
  <si>
    <t>SVT-OFF-DL-30W-4000K-0-10V</t>
  </si>
  <si>
    <t>SB-00013169</t>
  </si>
  <si>
    <t>Аргос с диммингом 0-10В/ШИМ</t>
  </si>
  <si>
    <t>SVT-OFF-DL-30W-4000K-DALI</t>
  </si>
  <si>
    <t>SB-00013170</t>
  </si>
  <si>
    <t>Аргос с DALI</t>
  </si>
  <si>
    <t>SVT-OFF-DL-30W-4000K-IP54</t>
  </si>
  <si>
    <t>SB-00011316</t>
  </si>
  <si>
    <t>Сверхтонкие панели с равномерной заливкой</t>
  </si>
  <si>
    <t>ARM-Panel-RZ</t>
  </si>
  <si>
    <t>Алюминий</t>
  </si>
  <si>
    <t>УФ рециркуляторы</t>
  </si>
  <si>
    <t>SVT-SPC-Med-UV-Antibiotik-25</t>
  </si>
  <si>
    <t>SB-00014720</t>
  </si>
  <si>
    <t>UVC 254nm</t>
  </si>
  <si>
    <t>Лампа бактерицидная безозоновая T16, цоколь G5 - 2шт</t>
  </si>
  <si>
    <t>УХЛ4</t>
  </si>
  <si>
    <t>Алюминиевый профиль</t>
  </si>
  <si>
    <t>настольное</t>
  </si>
  <si>
    <t>250x100x100</t>
  </si>
  <si>
    <t xml:space="preserve"> +1°/+35° С</t>
  </si>
  <si>
    <t>6 000 ч</t>
  </si>
  <si>
    <t>SVT-SPC-Med-UV-Antibiotik</t>
  </si>
  <si>
    <t>SB-00013402</t>
  </si>
  <si>
    <t>Лампа бактерицидная безозоновая UVC 254nm 15W  T8 G13 OSRAM/LEDVANCE - 1шт</t>
  </si>
  <si>
    <t>настенно-потолочное, настольное, напольное (необходима подставка)</t>
  </si>
  <si>
    <t>670x100x100</t>
  </si>
  <si>
    <t>9 000 ч</t>
  </si>
  <si>
    <t>SVT-SPC-Med-UV-Antibiotik-2x15</t>
  </si>
  <si>
    <t>SB-00013599</t>
  </si>
  <si>
    <t>Лампа бактерицидная безозоновая UVC 254nm 15W  T8 G13 OSRAM/LEDVANCE - 2шт</t>
  </si>
  <si>
    <t>SVT-SPC-Med-UV-Antibiotik-CLK</t>
  </si>
  <si>
    <t>SB-00014272</t>
  </si>
  <si>
    <t>SVT-SPC-Med-UV-Antibiotik-2x15-CLK</t>
  </si>
  <si>
    <t>SB-00014273</t>
  </si>
  <si>
    <t>SVT-SPC-Med-UV-Antibiotik-s</t>
  </si>
  <si>
    <t>SB-00014232</t>
  </si>
  <si>
    <t>630x100x100</t>
  </si>
  <si>
    <t>SVT-SPC-Med-UV-Antibiotik-s-2x15</t>
  </si>
  <si>
    <t>SB-00014239</t>
  </si>
  <si>
    <t>SVT-SPC-Med-UV-Antibiotik-s-CLK</t>
  </si>
  <si>
    <t>SB-00014256</t>
  </si>
  <si>
    <t>SVT-SPC-Med-UV-Antibiotik-s-2x15-CLK</t>
  </si>
  <si>
    <t>SB-00014257</t>
  </si>
  <si>
    <t>SVT-SPC-Med-UV-Antibiotik-150</t>
  </si>
  <si>
    <t>SB-00013817</t>
  </si>
  <si>
    <t>Лампа бактерицидная безозоновая UVC 254nm 55W - 1шт</t>
  </si>
  <si>
    <t>настенно-потолочное, напольное (необходима подставка)</t>
  </si>
  <si>
    <t>1120x100x100</t>
  </si>
  <si>
    <t>SVT-SPC-Med-UV-Antibiotik-200</t>
  </si>
  <si>
    <t>SB-00014274</t>
  </si>
  <si>
    <t>SVT-SPC-Med-UV-Antibiotik-300</t>
  </si>
  <si>
    <t>SB-00014275</t>
  </si>
  <si>
    <t>Лампа бактерицидная безозоновая UVC 254nm 55W - 2шт</t>
  </si>
  <si>
    <t>SVT-SPC-Med-UV-Antibiotik-150-CLK</t>
  </si>
  <si>
    <t>SB-00014276</t>
  </si>
  <si>
    <t>SVT-SPC-Med-UV-Antibiotik-200-CLK</t>
  </si>
  <si>
    <t>SB-00014277</t>
  </si>
  <si>
    <t>SVT-SPC-Med-UV-Antibiotik-300-CLK</t>
  </si>
  <si>
    <t>SB-00014278</t>
  </si>
  <si>
    <t>Подставка для рециркулятора Antibiotik-s</t>
  </si>
  <si>
    <t>SB-00014233</t>
  </si>
  <si>
    <t>Стойка на колесах для SVT-SPC-Med-UV-Antibiotik</t>
  </si>
  <si>
    <t>SB-00013558</t>
  </si>
  <si>
    <t>320x310x1040</t>
  </si>
  <si>
    <t>Стойка на колесах для SVT-SPC-Med-UV-Antibiotik-150-300</t>
  </si>
  <si>
    <t>SB-00014607</t>
  </si>
  <si>
    <t>SVT-SPC-Med-ARM-595-595-UVC-18W-30W-5000K-PR</t>
  </si>
  <si>
    <t>SB-00012474</t>
  </si>
  <si>
    <t>Призма</t>
  </si>
  <si>
    <t>SVT-SPC-Med-ARM-595-595-UVC-18W</t>
  </si>
  <si>
    <t>SB-00012476</t>
  </si>
  <si>
    <t>SVT-SPC-Med-Doc-50-white</t>
  </si>
  <si>
    <t>SB-00013865</t>
  </si>
  <si>
    <t>Алюминий с порошковой покраской</t>
  </si>
  <si>
    <t>накладное, настольное, напольное</t>
  </si>
  <si>
    <t>650x235x183</t>
  </si>
  <si>
    <t>SVT-SPC-Med-Doc-100-white</t>
  </si>
  <si>
    <t>SB-00013866</t>
  </si>
  <si>
    <t>SVT-SPC-Med-Doc-150-white</t>
  </si>
  <si>
    <t>SB-00013867</t>
  </si>
  <si>
    <t>SVT-SPC-Med-Doc-50-black</t>
  </si>
  <si>
    <t>SB-00013877</t>
  </si>
  <si>
    <t>SVT-SPC-Med-Doc-100-black</t>
  </si>
  <si>
    <t>SB-00013878</t>
  </si>
  <si>
    <t>SVT-SPC-Med-Doc-150-black</t>
  </si>
  <si>
    <t>SB-00013879</t>
  </si>
  <si>
    <t>SVT-SPC-Med-UVC-vent-1x15W</t>
  </si>
  <si>
    <t>SB-00013513</t>
  </si>
  <si>
    <t>635x140x65</t>
  </si>
  <si>
    <t>SVT-SPC-Med-UVC-vent-2x15W</t>
  </si>
  <si>
    <t>SB-00013514</t>
  </si>
  <si>
    <t>SVT-SPC-Med-UVC-vent-200-CLK</t>
  </si>
  <si>
    <t>SB-00014347</t>
  </si>
  <si>
    <t>Лампа бактерицидная безозоновая UVC 254nm 15W  T8 G13 OSRAM/LEDVANCE - 3шт</t>
  </si>
  <si>
    <t>740x216x111</t>
  </si>
  <si>
    <t>SVT-SPC-Med-UVC-vent-300-CLK</t>
  </si>
  <si>
    <t>SB-00014348</t>
  </si>
  <si>
    <t>Лампа бактерицидная безозоновая UVC 254nm 15W  T8 G13 OSRAM/LEDVANCE - 4шт</t>
  </si>
  <si>
    <t>Стойка для SVT-SPC-Med-UVC-vent</t>
  </si>
  <si>
    <t>SB-00013515</t>
  </si>
  <si>
    <t>Стойка на колесах для SVT-SPC-Med-UVC-vent</t>
  </si>
  <si>
    <t>SB-00013516</t>
  </si>
  <si>
    <t>Прикроватные</t>
  </si>
  <si>
    <t>SVT-Med-BH-29W/10W-up/down-4000K</t>
  </si>
  <si>
    <t>SB-00011958</t>
  </si>
  <si>
    <t>Up+Down</t>
  </si>
  <si>
    <t>Samsung 2835</t>
  </si>
  <si>
    <t xml:space="preserve">Накладное </t>
  </si>
  <si>
    <t>600x186x119</t>
  </si>
  <si>
    <t>Бактерицидные УФ рециркуляторы</t>
  </si>
  <si>
    <t>SVT-SPC-Med-BH-UVC-15W/29W/10W-UVC/up/down-4000K</t>
  </si>
  <si>
    <t>SB-00012598</t>
  </si>
  <si>
    <t>Clip-in</t>
  </si>
  <si>
    <t>SVT-ARM-Clip-in-27W-IP54-M-4000K</t>
  </si>
  <si>
    <t>SB-00012926</t>
  </si>
  <si>
    <t>Аргос</t>
  </si>
  <si>
    <t>Samsung/Edison 2835 72шт</t>
  </si>
  <si>
    <t>Потолок тип Clip-in</t>
  </si>
  <si>
    <t>600х600х40</t>
  </si>
  <si>
    <t>SVT-ARM-Clip-in-34W-IP54-M-4000K</t>
  </si>
  <si>
    <t>SB-00012927</t>
  </si>
  <si>
    <t>SVT-ARM-Clip-in-38W-IP54-M-4000K</t>
  </si>
  <si>
    <t>SB-00012928</t>
  </si>
  <si>
    <t>Samsung/Edison 2835 96шт</t>
  </si>
  <si>
    <t>SVT-ARM-Clip-in-43W-IP54-M-4000K</t>
  </si>
  <si>
    <t>SB-00012929</t>
  </si>
  <si>
    <t>Samsung/Edison 2835 108шт</t>
  </si>
  <si>
    <t>SVT-ARM-Clip-in-27W-IP54-PR</t>
  </si>
  <si>
    <t>SB-00012126</t>
  </si>
  <si>
    <t>SVT-ARM-Clip-in-34W-IP54-PR</t>
  </si>
  <si>
    <t>SB-00012127</t>
  </si>
  <si>
    <t>SVT-ARM-Clip-in-38W-IP54-PR</t>
  </si>
  <si>
    <t>SB-00012128</t>
  </si>
  <si>
    <t>SVT-ARM-Clip-in-43W-IP54-PR</t>
  </si>
  <si>
    <t>SB-00012129</t>
  </si>
  <si>
    <t>RTL-B</t>
  </si>
  <si>
    <t>SVT-RTL-B-L-28-48W-1200-PR</t>
  </si>
  <si>
    <t>SB-00007152</t>
  </si>
  <si>
    <t>Аргос 
(с возможностью настройки мощности)</t>
  </si>
  <si>
    <t>Призматический полистирол</t>
  </si>
  <si>
    <t>Подвес/накладное на ровную поверхность или лоток</t>
  </si>
  <si>
    <t>1200х100х55</t>
  </si>
  <si>
    <t>SVT-RTL-B-L-30-60W-1500-PR</t>
  </si>
  <si>
    <t>SB-00006137</t>
  </si>
  <si>
    <t>1500х100х55</t>
  </si>
  <si>
    <t>380х85х150</t>
  </si>
  <si>
    <t>III</t>
  </si>
  <si>
    <t>M-LV</t>
  </si>
  <si>
    <t>SVT-STR-M-16W-LV-12V DC</t>
  </si>
  <si>
    <t>SB-00007496</t>
  </si>
  <si>
    <t>12V DC</t>
  </si>
  <si>
    <t>60мА</t>
  </si>
  <si>
    <t>230х100х125</t>
  </si>
  <si>
    <t>SVT-STR-M-16W-LV-24V DC</t>
  </si>
  <si>
    <t>SB-00007497</t>
  </si>
  <si>
    <t>SVT-STR-M-16W-LV-36V DC</t>
  </si>
  <si>
    <t>SB-00007498</t>
  </si>
  <si>
    <t>36V DC</t>
  </si>
  <si>
    <t>SVT-STR-M-16W-LV-12V AC</t>
  </si>
  <si>
    <t>SB-00007499</t>
  </si>
  <si>
    <t>12V AC, 50Гц</t>
  </si>
  <si>
    <t>SVT-STR-M-16W-LV-24V AC</t>
  </si>
  <si>
    <t>SB-00007500</t>
  </si>
  <si>
    <t>24V AC, 50Гц</t>
  </si>
  <si>
    <t>SVT-STR-M-16W-LV-36V AC</t>
  </si>
  <si>
    <t>SB-00007501</t>
  </si>
  <si>
    <t>36V AC, 50Гц</t>
  </si>
  <si>
    <t>SVT-STR-M-24W-LV-12V DC</t>
  </si>
  <si>
    <t>SB-00007502</t>
  </si>
  <si>
    <t>SVT-STR-M-24W-LV-24V DC</t>
  </si>
  <si>
    <t>SB-00007503</t>
  </si>
  <si>
    <t>SVT-STR-M-24W-LV-36V DC</t>
  </si>
  <si>
    <t>SB-00007504</t>
  </si>
  <si>
    <t>SVT-STR-M-24W-LV-12V AC</t>
  </si>
  <si>
    <t>SB-00007505</t>
  </si>
  <si>
    <t>SVT-STR-M-24W-LV-24V AC</t>
  </si>
  <si>
    <t>SB-00007506</t>
  </si>
  <si>
    <t>SVT-STR-M-24W-LV-36V AC</t>
  </si>
  <si>
    <t>SB-00007507</t>
  </si>
  <si>
    <t>SVT-STR-M-32W-LV-12V DC</t>
  </si>
  <si>
    <t>SB-00007508</t>
  </si>
  <si>
    <t>SVT-STR-M-32W-LV-24V DC</t>
  </si>
  <si>
    <t>SB-00007509</t>
  </si>
  <si>
    <t>SVT-STR-M-32W-LV-36V DC</t>
  </si>
  <si>
    <t>SB-00007510</t>
  </si>
  <si>
    <t>SVT-STR-M-32W-LV-12V AC</t>
  </si>
  <si>
    <t>SB-00007511</t>
  </si>
  <si>
    <t>SVT-STR-M-32W-LV-24V AC</t>
  </si>
  <si>
    <t>SB-00007512</t>
  </si>
  <si>
    <t>SVT-STR-M-32W-LV-36V AC</t>
  </si>
  <si>
    <t>SB-00007513</t>
  </si>
  <si>
    <t>Айсберг v2-LV</t>
  </si>
  <si>
    <t>SVT-P-I-v2-300-8W-LV-12V DC</t>
  </si>
  <si>
    <t>SB-00011320</t>
  </si>
  <si>
    <t>Samsung LM281B+ 18шт</t>
  </si>
  <si>
    <t>150мА</t>
  </si>
  <si>
    <t>SVT-P-I-v2-300-8W-LV-24V DC</t>
  </si>
  <si>
    <t>SB-00011321</t>
  </si>
  <si>
    <t>SVT-P-I-v2-300-8W-LV-36V DC</t>
  </si>
  <si>
    <t>SB-00011322</t>
  </si>
  <si>
    <t>SVT-P-I-v2-300-8W-LV-12V AC</t>
  </si>
  <si>
    <t>SB-00011323</t>
  </si>
  <si>
    <t>SVT-P-I-v2-300-8W-LV-24V AC</t>
  </si>
  <si>
    <t>SB-00011324</t>
  </si>
  <si>
    <t>SVT-P-I-v2-300-8W-LV-36V AC</t>
  </si>
  <si>
    <t>SB-00011325</t>
  </si>
  <si>
    <t>SVT-P-I-v2-600-16W-LV-12V DC</t>
  </si>
  <si>
    <t>SB-00011326</t>
  </si>
  <si>
    <t>Samsung LM281B+ 36шт</t>
  </si>
  <si>
    <t>SVT-P-I-v2-600-16W-LV-24V DC</t>
  </si>
  <si>
    <t>SB-00011327</t>
  </si>
  <si>
    <t>SVT-P-I-v2-600-16W-LV-36V DC</t>
  </si>
  <si>
    <t>SB-00011328</t>
  </si>
  <si>
    <t>SVT-P-I-v2-600-16W-LV-12V AC</t>
  </si>
  <si>
    <t>SB-00011329</t>
  </si>
  <si>
    <t>SVT-P-I-v2-600-16W-LV-24V AC</t>
  </si>
  <si>
    <t>SB-00011330</t>
  </si>
  <si>
    <t>SVT-P-I-v2-600-16W-LV-36V AC</t>
  </si>
  <si>
    <t>SB-00011331</t>
  </si>
  <si>
    <t>SVT-P-I-v2-900-24W-LV-12V DC</t>
  </si>
  <si>
    <t>SB-00011332</t>
  </si>
  <si>
    <t>Samsung LM281B+ 54шт</t>
  </si>
  <si>
    <t>SVT-P-I-v2-900-24W-LV-24V DC</t>
  </si>
  <si>
    <t>SB-00011333</t>
  </si>
  <si>
    <t>SVT-P-I-v2-900-24W-LV-36V DC</t>
  </si>
  <si>
    <t>SB-00011334</t>
  </si>
  <si>
    <t>SVT-P-I-v2-900-24W-LV-12V AC</t>
  </si>
  <si>
    <t>SB-00011335</t>
  </si>
  <si>
    <t>SVT-P-I-v2-900-24W-LV-24V AC</t>
  </si>
  <si>
    <t>SB-00011336</t>
  </si>
  <si>
    <t>SVT-P-I-v2-900-24W-LV-36V AC</t>
  </si>
  <si>
    <t>SB-00011337</t>
  </si>
  <si>
    <t>SVT-P-I-v2-1200-32W-LV-12V DC</t>
  </si>
  <si>
    <t>SB-00011338</t>
  </si>
  <si>
    <t>Samsung LM281B+ 70шт</t>
  </si>
  <si>
    <t>SVT-P-I-v2-1200-32W-LV-24V DC</t>
  </si>
  <si>
    <t>SB-00011339</t>
  </si>
  <si>
    <t>SVT-P-I-v2-1200-32W-LV-36V DC</t>
  </si>
  <si>
    <t>SB-00011340</t>
  </si>
  <si>
    <t>SVT-P-I-v2-1200-32W-LV-12V AC</t>
  </si>
  <si>
    <t>SB-00011341</t>
  </si>
  <si>
    <t>SVT-P-I-v2-1200-32W-LV-24V AC</t>
  </si>
  <si>
    <t>SB-00011342</t>
  </si>
  <si>
    <t>SVT-P-I-v2-1200-32W-LV-36V AC</t>
  </si>
  <si>
    <t>UL-LV</t>
  </si>
  <si>
    <t>SVT-P-UL-16W-LV-12V DC</t>
  </si>
  <si>
    <t>SB-00007542</t>
  </si>
  <si>
    <t>SVT-P-UL-16W-LV-24V DC</t>
  </si>
  <si>
    <t>SB-00007543</t>
  </si>
  <si>
    <t>SVT-P-UL-16W-LV-36V DC</t>
  </si>
  <si>
    <t>SB-00007544</t>
  </si>
  <si>
    <t>SVT-P-UL-16W-LV-12V AC</t>
  </si>
  <si>
    <t>SB-00007545</t>
  </si>
  <si>
    <t>SVT-P-UL-16W-LV-24V AC</t>
  </si>
  <si>
    <t>SB-00007546</t>
  </si>
  <si>
    <t>SVT-P-UL-16W-LV-36V AC</t>
  </si>
  <si>
    <t>SB-00007547</t>
  </si>
  <si>
    <t>SVT-P-UL-24W-LV-12V DC</t>
  </si>
  <si>
    <t>SB-00007548</t>
  </si>
  <si>
    <t>SVT-P-UL-24W-LV-24V DC</t>
  </si>
  <si>
    <t>SB-00007549</t>
  </si>
  <si>
    <t>SVT-P-UL-24W-LV-36V DC</t>
  </si>
  <si>
    <t>SB-00007550</t>
  </si>
  <si>
    <t>SVT-P-UL-24W-LV-12V AC</t>
  </si>
  <si>
    <t>SB-00007553</t>
  </si>
  <si>
    <t>SVT-P-UL-24W-LV-24V AC</t>
  </si>
  <si>
    <t>SB-00007554</t>
  </si>
  <si>
    <t>SVT-P-UL-24W-LV-36V AC</t>
  </si>
  <si>
    <t>SB-00007555</t>
  </si>
  <si>
    <t>SVT-P-UL-32W-LV-12V DC</t>
  </si>
  <si>
    <t>SB-00007556</t>
  </si>
  <si>
    <t>SVT-P-UL-32W-LV-24V DC</t>
  </si>
  <si>
    <t>SB-00007557</t>
  </si>
  <si>
    <t>SVT-P-UL-32W-LV-36V DC</t>
  </si>
  <si>
    <t>SB-00007558</t>
  </si>
  <si>
    <t>SVT-P-UL-32W-LV-12V AC</t>
  </si>
  <si>
    <t>SB-00007559</t>
  </si>
  <si>
    <t>SVT-P-UL-32W-LV-24V AC</t>
  </si>
  <si>
    <t>SB-00007560</t>
  </si>
  <si>
    <t>SVT-P-UL-32W-LV-36V AC</t>
  </si>
  <si>
    <t>SB-00007561</t>
  </si>
  <si>
    <t>Армстронг-БАП</t>
  </si>
  <si>
    <t>SVT-ARM-U-595x595x40-30W-PR-inBAT-2h</t>
  </si>
  <si>
    <t>SB-00004364</t>
  </si>
  <si>
    <t>Гнутая листовая сталь с порошковой окраской</t>
  </si>
  <si>
    <t>Аварийные указатели</t>
  </si>
  <si>
    <t>SB-00011318</t>
  </si>
  <si>
    <t xml:space="preserve">Постоянно включена. Аварийный режим работы: 1 час, 50% яркости. </t>
  </si>
  <si>
    <t>Samsung LM281B+ 26шт</t>
  </si>
  <si>
    <t>310×76×145</t>
  </si>
  <si>
    <t>Айсберг-БАП</t>
  </si>
  <si>
    <t>SVT-P-I-1280-30W-T-inBAT-2h</t>
  </si>
  <si>
    <t>SB-00004429</t>
  </si>
  <si>
    <t>1280х140х95</t>
  </si>
  <si>
    <t>SVT-P-I-1280-30W-M-inBAT-2h</t>
  </si>
  <si>
    <t>SB-00004427</t>
  </si>
  <si>
    <t>5000К</t>
  </si>
  <si>
    <t>UL-БАП</t>
  </si>
  <si>
    <t>SVT-P-UL-35W-inBAT-2h</t>
  </si>
  <si>
    <t>SB-00004494</t>
  </si>
  <si>
    <t>Osram Duris S5 28шт</t>
  </si>
  <si>
    <t>Модуль-FTR</t>
  </si>
  <si>
    <t>SVT-STR-M-32W-FTR</t>
  </si>
  <si>
    <t>SB-00005287</t>
  </si>
  <si>
    <t>SVT-STR-M-48W-FTR</t>
  </si>
  <si>
    <t>SB-00007052</t>
  </si>
  <si>
    <t>280х100х125</t>
  </si>
  <si>
    <t>SVT-STR-M-32W-C-FTR</t>
  </si>
  <si>
    <t>SB-00005288</t>
  </si>
  <si>
    <t>SVT-STR-M-48W-C-FTR</t>
  </si>
  <si>
    <t>SB-00007053</t>
  </si>
  <si>
    <t>Модуль-Фито</t>
  </si>
  <si>
    <t>SVT-RND-FITO-M-32W (с защитой от 380)</t>
  </si>
  <si>
    <t>64 
мкмоль/с</t>
  </si>
  <si>
    <t>SB-00008525</t>
  </si>
  <si>
    <t>Универсальный фито-спектр</t>
  </si>
  <si>
    <t>Lumileds шт FITO 84 шт</t>
  </si>
  <si>
    <t>Поворотный кронштейн с хомутом на трубу до 50.8мм/подвес</t>
  </si>
  <si>
    <t>SVT-RND-FITO-M-48W (с защитой от 380)</t>
  </si>
  <si>
    <t>96 
мкмоль/с</t>
  </si>
  <si>
    <t>SB-00008526</t>
  </si>
  <si>
    <t>Lumileds шт FITO 132 шт</t>
  </si>
  <si>
    <t>SVT-RND-FITO-M-61W (с защитой от 380)</t>
  </si>
  <si>
    <t>122 
мкмоль/с</t>
  </si>
  <si>
    <t>SB-00008527</t>
  </si>
  <si>
    <t>Lumileds шт FITO 168 шт</t>
  </si>
  <si>
    <t>330х100х125</t>
  </si>
  <si>
    <t>SVT-RND-FITO-M-96W</t>
  </si>
  <si>
    <t>192 
мкмоль/с</t>
  </si>
  <si>
    <t>SB-00007873</t>
  </si>
  <si>
    <t>Lumileds шт FITO 264 шт</t>
  </si>
  <si>
    <t>530х100х125</t>
  </si>
  <si>
    <t>ЖКХ</t>
  </si>
  <si>
    <t>2 года</t>
  </si>
  <si>
    <t>СВТ</t>
  </si>
  <si>
    <t>Накладной</t>
  </si>
  <si>
    <t>SB-00014723</t>
  </si>
  <si>
    <t>155x57</t>
  </si>
  <si>
    <t xml:space="preserve">ЖКХ </t>
  </si>
  <si>
    <t>SB-00014725</t>
  </si>
  <si>
    <t>SVT-ZKH-AIR-8W-M</t>
  </si>
  <si>
    <t>SB-00010511</t>
  </si>
  <si>
    <t>Матовый ПК</t>
  </si>
  <si>
    <t>SMD 2835 х28шт</t>
  </si>
  <si>
    <t>150×150×30</t>
  </si>
  <si>
    <t>Крепеж</t>
  </si>
  <si>
    <t>Комплект тросовых подвесов 1/2-1200мм (2шт.) с зажимами</t>
  </si>
  <si>
    <t>SB-00007375</t>
  </si>
  <si>
    <t>Стальной трос 1 мм в прозрачной оплетке 
(два отрезка по 1200мм)</t>
  </si>
  <si>
    <t>Алюминиевый зажим для троса 4мм (4 шт)</t>
  </si>
  <si>
    <t>Комплект тросовых подвесов 1/2-2200мм (2шт.) с зажимами</t>
  </si>
  <si>
    <t>SB-00007376</t>
  </si>
  <si>
    <t>Стальной трос 1 мм в прозрачной оплетке 
(два отрезка по 2200мм)</t>
  </si>
  <si>
    <t>Комплект тросовых подвесов 1/2-3200мм (2шт.) с зажимами</t>
  </si>
  <si>
    <t>SB-00007378</t>
  </si>
  <si>
    <t>Стальной трос 1 мм в прозрачной оплетке 
(два отрезка по 3200мм)</t>
  </si>
  <si>
    <t>Комплект тросовых подвесов 1/2-4200мм (2шт.) с зажимами</t>
  </si>
  <si>
    <t>SB-00007379</t>
  </si>
  <si>
    <t>Стальной трос 1 мм в прозрачной оплетке 
(два отрезка по 4200мм)</t>
  </si>
  <si>
    <t>SVT-STR-M</t>
  </si>
  <si>
    <t>SB-00005725</t>
  </si>
  <si>
    <t>Сталь</t>
  </si>
  <si>
    <t>SVT-STR-MV</t>
  </si>
  <si>
    <t>SB-00005958</t>
  </si>
  <si>
    <t>Крепеж для V-образного соединения светильников Модуль с универсальным поворотным кронштейном и хомутом на трубу до 50.8мм</t>
  </si>
  <si>
    <t>SB-00005953</t>
  </si>
  <si>
    <t>SB-00006741</t>
  </si>
  <si>
    <t>Консоль на трубу до 55мм
два кабельных ввода</t>
  </si>
  <si>
    <t>SVT-STR-M-TRIO90</t>
  </si>
  <si>
    <t>SB-00005954</t>
  </si>
  <si>
    <t>SVT-STR-M-TRIO90-C</t>
  </si>
  <si>
    <t>SB-00005955</t>
  </si>
  <si>
    <t>Алюминий+сталь</t>
  </si>
  <si>
    <t>SVT-STR-M-TRIO</t>
  </si>
  <si>
    <t>SB-00005956</t>
  </si>
  <si>
    <t>SVT-STR-M-TRIO-C</t>
  </si>
  <si>
    <t>SB-00005957</t>
  </si>
  <si>
    <t>Модификации</t>
  </si>
  <si>
    <t>Прожектор "Муза" 42Вт</t>
  </si>
  <si>
    <t>SB-00013966</t>
  </si>
  <si>
    <t>340x180x50</t>
  </si>
  <si>
    <t>Дорожный светильник "ДорТула" 120Вт</t>
  </si>
  <si>
    <t>SB-00013533</t>
  </si>
  <si>
    <t>400мА</t>
  </si>
  <si>
    <t>Формованный алюминий</t>
  </si>
  <si>
    <t>Консольное на трубу 48мм</t>
  </si>
  <si>
    <t>600х210х80</t>
  </si>
  <si>
    <t>Промышленный светильник с блоком аварийного питания на 1 час SVT-STR-M-96W-MW-BAT-1h</t>
  </si>
  <si>
    <t>5 лет, АКБ-2 года.</t>
  </si>
  <si>
    <t>MeanWell + БАП (1ч, 5%)</t>
  </si>
  <si>
    <t>+1°/+40° С</t>
  </si>
  <si>
    <t>Промышленный светильник с блоком аварийного питания на 2 часа SVT-STR-M-96W-BAT-2h</t>
  </si>
  <si>
    <t>Аргос/Трион (с защитой от 380В и грозозащитой) + БАП (2ч, 5%)</t>
  </si>
  <si>
    <t>SVT-STR-MPRO-Max-155W-65-OCTO</t>
  </si>
  <si>
    <t>Osram Duris S8 384шт</t>
  </si>
  <si>
    <t>936x878x300*</t>
  </si>
  <si>
    <t>SVT-STR-Bolid-600W-60-DUO</t>
  </si>
  <si>
    <t>Osram Duris S8 1120шт</t>
  </si>
  <si>
    <t>1100x630x630</t>
  </si>
  <si>
    <t>SVT-STR-M-80W-DIMM-0-10W</t>
  </si>
  <si>
    <t>Аргос/Трион (с защитой от 380В и грозозащитой), управлением по 0-10В/ШИМ</t>
  </si>
  <si>
    <t>SVT-ARM-U-595x595x40-27W-M-ultra-BAT-2h</t>
  </si>
  <si>
    <t xml:space="preserve">Трион, 2 часа, 10% </t>
  </si>
  <si>
    <t>Матовый рассеиватель</t>
  </si>
  <si>
    <t>Samsung LM281B+RK 72 шт</t>
  </si>
  <si>
    <t>Линейный промышленный светильник "Форт" 1200мм, 18Вт, оптика 15гр, IP65</t>
  </si>
  <si>
    <t>ПК Turlens</t>
  </si>
  <si>
    <t>Архитектурный низковольтный светильник с DMX-управлением SVT-STR-RGB-MPRO-25W-58-DMX-24V</t>
  </si>
  <si>
    <t>12-24В, DC</t>
  </si>
  <si>
    <t>DMX декодер</t>
  </si>
  <si>
    <t>SVT-STR-Bolid-360W-60</t>
  </si>
  <si>
    <t>Samsung COB G2 6 шт</t>
  </si>
  <si>
    <t>Уровень шума, дБ</t>
  </si>
  <si>
    <t>Счетчик наработки времени</t>
  </si>
  <si>
    <t>Длинна волны УФ лампы</t>
  </si>
  <si>
    <t>Тип лампы</t>
  </si>
  <si>
    <t>Срок службы лампы</t>
  </si>
  <si>
    <t>Для категорий помещений</t>
  </si>
  <si>
    <t>18-20</t>
  </si>
  <si>
    <t>28-32</t>
  </si>
  <si>
    <t>29-33</t>
  </si>
  <si>
    <t>60-65</t>
  </si>
  <si>
    <t>62-66</t>
  </si>
  <si>
    <t>65-68</t>
  </si>
  <si>
    <t>28-33</t>
  </si>
  <si>
    <t>29-34</t>
  </si>
  <si>
    <t>42-45</t>
  </si>
  <si>
    <t>32-34</t>
  </si>
  <si>
    <t>33-35</t>
  </si>
  <si>
    <t>40-42</t>
  </si>
  <si>
    <t>ИВН-2</t>
  </si>
  <si>
    <t>Мощность бактерицидного излучения ламп, Вт</t>
  </si>
  <si>
    <t>IV-V</t>
  </si>
  <si>
    <t>Цвет корпуса</t>
  </si>
  <si>
    <t>Черный</t>
  </si>
  <si>
    <t>Белый</t>
  </si>
  <si>
    <t>220x220x45</t>
  </si>
  <si>
    <t>320x310x1140</t>
  </si>
  <si>
    <t>595x595x125</t>
  </si>
  <si>
    <t>595x595x85</t>
  </si>
  <si>
    <t>Производительность, м3/час</t>
  </si>
  <si>
    <t>ООО "СВТ"</t>
  </si>
  <si>
    <t>https://gcsvt.ru</t>
  </si>
  <si>
    <t>info@gcsvt.ru</t>
  </si>
  <si>
    <t>8 (812) 309-16-02</t>
  </si>
  <si>
    <t>192019, г. Санкт-Петербург, пр. Обуховской Обороны, д. 7</t>
  </si>
  <si>
    <t>Технические характеристики модели</t>
  </si>
  <si>
    <t>Номер версии</t>
  </si>
  <si>
    <t>Дата</t>
  </si>
  <si>
    <t>Изменения</t>
  </si>
  <si>
    <t>ЯНВАРЬ 2021</t>
  </si>
  <si>
    <t>ДЕКАБРЬ 2020 V.2</t>
  </si>
  <si>
    <t>Добавлен портативный  рециркулятор на 25 м3/час;
Добавлены бюджетные светильники серии ЖКХ 8 - 12 Вт.</t>
  </si>
  <si>
    <t>ДЕКАБРЬ 2020</t>
  </si>
  <si>
    <t>НОЯБРЬ 2020 V.2</t>
  </si>
  <si>
    <t>Добавлена подставка для рециркулятора Antibiotik-s</t>
  </si>
  <si>
    <t>НОЯБРЬ 2020</t>
  </si>
  <si>
    <t>Добавлены новые модели рециркуляторов ВЕНТ-200 и 300, Антибиотик 200 и 300. В том числе со счетчиком наработки. 
Добавлена новая модель рециркулятора Antibiotik-s. Данная модель отличается от обычного Антибиотика прямыми краями и новым настенным креплением.
Расширен модельный ряд светильников серии Модуль: добавлены модели 16, 24, 80Вт. 
16 и 24 Вт - в корпусе и по цене 32Вт.
80 - модель похожа на М-96, но состоящая из двух светодиодных модулей 32+48Вт.
Сняты с производства модели серии МХ-18Вт. Светодиодные модули, использовавшиеся в данной модели, более не производятся. 
В прайс-лист добавлен новый раздел "Модификации". В него будут добавляться произведенные под ТЗ клиентов модификации с  возможностью повторного выпуска.</t>
  </si>
  <si>
    <t>ОКТЯБРЬ 2020</t>
  </si>
  <si>
    <t>Повышение цен на 5%; добавлен промышленный рециркулятор воздуха серии "Antibiotik" на 150 м3/час.
Сняты с производства светильники ЖКХ серии "Сфера" и "Компакт".
Сняты с производства светильники серии COB, за исключением 40Вт-ной модели - она распродается по спец цене.
Сняты с производства большинство взрывозащищенных светильников. 
Сняты с производства светильники 2700К.</t>
  </si>
  <si>
    <t>СЕНТЯБРЬ 2020 V2</t>
  </si>
  <si>
    <t>Добавлен премиальный рециркулятор поздуха серии "Med-Doc" 50/100/150 м3/час, белый и черный.</t>
  </si>
  <si>
    <t>СЕНТЯБРЬ 2020</t>
  </si>
  <si>
    <t>Добавлен рециркулятор серии "Антибиотик" на 100 м3/час (SVT-SPC-Med-UV-Antibiotik-2x15)</t>
  </si>
  <si>
    <t>АВГУСТ 2020. V2</t>
  </si>
  <si>
    <r>
      <t>Изменение цен в УФ на колонки РРЦ, М. ОПТ, ОПТ, МРЦ. (</t>
    </r>
    <r>
      <rPr>
        <i/>
        <sz val="14"/>
        <color theme="1"/>
        <rFont val="Calibri"/>
        <family val="2"/>
        <charset val="204"/>
        <scheme val="minor"/>
      </rPr>
      <t>в меньшую сторону</t>
    </r>
    <r>
      <rPr>
        <b/>
        <i/>
        <sz val="14"/>
        <color theme="1"/>
        <rFont val="Calibri"/>
        <family val="2"/>
        <charset val="204"/>
        <scheme val="minor"/>
      </rPr>
      <t>)</t>
    </r>
  </si>
  <si>
    <t>АВГУСТ 2020</t>
  </si>
  <si>
    <t xml:space="preserve">БОЛЬШОЙ АПГРЕЙД ПОТОКОВ МОДУЛЕЙ М-32/48/61/96 + 27/53/79  и их комбинаций.
ВНИМАНИЕ! Апгрейд светильников Модуль с оптикой произведен за счет смены типа диода с 3535 на 5050, поэтому изменились КСС - обратите внимание!
Выведен из ассортимента рециркулятор серии «RAY-VENT»
В место рециркуляторов серии «RAY-VENT» введена новая серия «VENT» с усовершенствованным корпусом (без крыльев)
Введен новый бюджетный рециркулятор серии "Антибиотик" (SVT-SPC-Med-UV-Antibiotik) 
Добавлена опция для рециркуляторов серии "VENT": подставка на колесах и без.                                                                 </t>
  </si>
  <si>
    <t>ИЮЛЬ 2020</t>
  </si>
  <si>
    <r>
      <t xml:space="preserve">Добавлена УФ-ламп Osram HNS 15W G13
Добавлены верстии рециркуляторов с двумя вентиляторами. </t>
    </r>
    <r>
      <rPr>
        <b/>
        <sz val="14"/>
        <color theme="1"/>
        <rFont val="Calibri"/>
        <family val="2"/>
        <charset val="204"/>
        <scheme val="minor"/>
      </rPr>
      <t>"2vent"</t>
    </r>
    <r>
      <rPr>
        <sz val="14"/>
        <color theme="1"/>
        <rFont val="Calibri"/>
        <family val="2"/>
        <charset val="204"/>
        <scheme val="minor"/>
      </rPr>
      <t xml:space="preserve">
Улучшен универсальный крепеж на светильниках MPRO 79/96/102; MAX 81/119/155
Добавлены две модификации Дуанлайтов: с диммнгом по 0-10В и DALI.
Добавлены MAX 119W, 155W с оптикой в исполнениях DUO-TRIO-QUATTRO</t>
    </r>
  </si>
  <si>
    <t>ИЮНЬ 2020</t>
  </si>
  <si>
    <r>
      <t xml:space="preserve">Добавлена новая платформа - </t>
    </r>
    <r>
      <rPr>
        <b/>
        <sz val="14"/>
        <color theme="1"/>
        <rFont val="Calibri"/>
        <family val="2"/>
        <charset val="204"/>
        <scheme val="minor"/>
      </rPr>
      <t>Bolid!</t>
    </r>
    <r>
      <rPr>
        <sz val="14"/>
        <color theme="1"/>
        <rFont val="Calibri"/>
        <family val="2"/>
        <charset val="204"/>
        <scheme val="minor"/>
      </rPr>
      <t xml:space="preserve"> Прожекторы со сменными световыми модулями.
Добавлены садово-парковые светильники серии "Ретро".
Сняты с производства светодиодные УФ-облучатели серии RAY, кроме SVT-Med-UVС-12W-ray; рециркуляторы серии Vent, кроме SVT-Med-UVС-13W-vent; облучатели+рециркуляторы комбинированные серии combo, кроме SVT-Med-UVС-25W-combo.
Добавлены Армы для реечных потолков в раздел ARM-RP.
Добавлены Clip-in с матовым рассеивателем и 4000К.
В светильниках серии Inray изменился вывод кабеля питания - теперь он выходит "наверх".
Добавлены Модули-переноски.</t>
    </r>
  </si>
  <si>
    <t>МАЙ 2020</t>
  </si>
  <si>
    <t>Добавлен универсальный рециркулятор воздуха на основе УФ-ламп.
Скорректирована цена на УФ серию.</t>
  </si>
  <si>
    <t>в.1.9.8.6</t>
  </si>
  <si>
    <t>Существенно расширен модельный ряд УФ-обеззараживателей: облучатели, рециркуляторы, комбинированные.
Изменена цена на ЖКХ "Сфера".</t>
  </si>
  <si>
    <t>в.1.9.8.5</t>
  </si>
  <si>
    <t>Добавлен УФ светильник для обеззараживания воздуха
Добавлены светильники Clip-in
Полностью обновлен раздел "SPORT"
Изменены цены на Айсберг в2
Выведены из ассортимента алюминиевые айсберги P-A</t>
  </si>
  <si>
    <t>в.1.9.8.4.2</t>
  </si>
  <si>
    <t>Повышение цен…</t>
  </si>
  <si>
    <t>в.1.9.8.4.1</t>
  </si>
  <si>
    <t>Снят с производства взрывозащищенный прожектор P-S-40-Ex</t>
  </si>
  <si>
    <t>в.1.9.8.4</t>
  </si>
  <si>
    <t>Обновлены остатки по распродаже.
Добавлены Модули на 2700К для уличного освещения.
У нас появилась возможность оснащать светильники с оптикой светодиодами 2700К. Подробности у менеджеров. 
Добавлены светильники Шар для паркового освещения. Диаметр 300мм, мощность 30 и 40Вт. 
Добавлен прикроватный светильник для медицинских учреждений.
Добавлены ультратонкие панели с универсальным монтажем и с монтажем в потолок армстронг.
Добавлены цены на Кассеты 60, 90 Вт.
Для Кассеты 60,90Вт введен новый 4х точечный крепеж.</t>
  </si>
  <si>
    <t>в.1.9.8.3</t>
  </si>
  <si>
    <t>Новинка! 
Добавлены Айсберги v2! Компактные айсберги с равномерной световой линией и гуманной ценой.
В длинах 300/600/900/1200/1500мм, мощностях: 6-60Вт с БАП, диммингом, низковольтные.
Добавлен даунлайт на 30Вт! 
Добавлены маломощные аварийные светильники с пиктограммами.</t>
  </si>
  <si>
    <t>в.1.9.8.2</t>
  </si>
  <si>
    <t xml:space="preserve">ВНИМАНИЕ! Большой апгрейд Модулей PRO и MAX! Повысились светоотдачи! Изменились некоторые КСС. Получены протоколы ВНИСИ!
Добавлена распродажа светильников COB, UV, US, PS
Светильники "Дружба" переименованы в "Победа".
Добавлен светильник ЖКХ 8Вт.
Обновились потоки светильников Армстронг и Айсберг. </t>
  </si>
  <si>
    <t>в.1.9.8.1</t>
  </si>
  <si>
    <t>В светильниках Армстронг и Айсберг (кроме AIR) добавлены 3х-полюсные клеммы BJB для монтажа проводов до 2.5квмм. Цена незначительно выросла.
Добавлена новая позиция: "Кассета" - светильники со светоотдачей 170лм/Вт со вторичной оптикой.
UV-100 снят с производства.</t>
  </si>
  <si>
    <t>в.1.9.8</t>
  </si>
  <si>
    <t>Снижены цены на Модули! А также сотни позиций, производных от Модулей: DUO, TRIO, QUATTRO, PENTA, High-Bay, Color, Дружба, АЗС, Галочки, низковольтные! Всего БОЛЕЕ 340 позиций!
Повышены цены на некоторые модели светильников Айсберг, Арм.
Изменены мощности светильников Модуль Color RED.</t>
  </si>
  <si>
    <t>в.1.9.7.1</t>
  </si>
  <si>
    <t>Добавлена серия "Модуль Дружба". Дружба - это наша Победа!
Добавлены три позиции Модуль ПРО ультра - КСС Д120 и светоотдачей 160лм/Вт.</t>
  </si>
  <si>
    <t>в.1.9.7</t>
  </si>
  <si>
    <t>Добавлены Модули PRO ДУО-ТРИО-КВАТРО</t>
  </si>
  <si>
    <t>в.1.9.6.8</t>
  </si>
  <si>
    <t>Проведены температурные испытания во ВНИСИ Модуля М-32 на -60…+60. 
В Модулях 32/48/27/53 и их модификациях изменены:
Климатическое исполнение: с У1 на УХЛ1
Температура эксплуатации: с -40…+40 на -60…+60
Модули 48/27/53 изменены на основе протокола М-32 потому, что в этих моделях используется один и тот же драйвер. Драйвер имеет запас по мощности для работы в пониженной температуре во всех указанных моделях, поэтому результаты испытаний 32го распространяются и на 48/27/53й Модули. 
Раздел "Морозостойкие" и "Теплостойкие" объединен в "Термостойкие". 
Добавлены Армы AIR для школ:
SVT-ARM-U-AIR-595x595x34-29W-IP54-PR-4000K-SC
SVT-ARM-U-AIR-1195x200x34-29W-IP54-PR-4000K-SC</t>
  </si>
  <si>
    <t>в.1.9.6.7</t>
  </si>
  <si>
    <t>Изменены цены на светильники Айсберг в алюминиевом корпусе.
Артикулы ARM-AIR изменены с -U (универсальный) на -В (встраиваемый).</t>
  </si>
  <si>
    <t>в.1.9.6.6</t>
  </si>
  <si>
    <t xml:space="preserve">Изменены цены на крепеж для светильников серии Модуль.
В светильниках AIR крепление изменено на "Встраиваемое". Накладной монтаж временно убран. </t>
  </si>
  <si>
    <t>в.1.9.6.5</t>
  </si>
  <si>
    <t>Снят с производства светильник P-COB (на профиле). Добавлен прожектор ДМХ-27Вт.
Исправлены неточности.</t>
  </si>
  <si>
    <t>в.1.9.6.4</t>
  </si>
  <si>
    <t>Добавлены новые пластиковые AIR армы-ЛСП 1195*200 и 595*200мм.</t>
  </si>
  <si>
    <t>в.1.9.6.3</t>
  </si>
  <si>
    <t>Снят с производства светильник UV-124-EX</t>
  </si>
  <si>
    <t>в.1.9.6.2</t>
  </si>
  <si>
    <t>В артикулах ARM AIR указано IP54 (артикулы скорректированы).
В артикулах Лучей добавлено крепление. В офисных: подвесное -RB. 
В архитектурных: поворотный кронштейн -KR. Ссылки на сайт изменены с учетом дополнения.</t>
  </si>
  <si>
    <t>в.1.9.6.1</t>
  </si>
  <si>
    <t>Изменены цены на ARM AIR.
Исправлен поток армстронга AIR на 3200лм, как среднее между измерениями в двух лабораториях.
Исправлена длина светильников М-96 - она ~510мм (без учета кабельного ввода 19мм).</t>
  </si>
  <si>
    <t>в.1.9.6</t>
  </si>
  <si>
    <r>
      <rPr>
        <sz val="14"/>
        <color theme="1"/>
        <rFont val="Calibri"/>
        <family val="2"/>
        <charset val="204"/>
        <scheme val="minor"/>
      </rPr>
      <t xml:space="preserve">ООО "ГК СВЕТОТРОНИКА" переименовано в ООО "СВТ".
В раздел "Офисные и Ритейл" добавлен новый армстронг </t>
    </r>
    <r>
      <rPr>
        <b/>
        <sz val="14"/>
        <color theme="1"/>
        <rFont val="Calibri"/>
        <family val="2"/>
        <charset val="204"/>
        <scheme val="minor"/>
      </rPr>
      <t>AIR - армстронг в пластиковом корпусе. Доступны модели с БАП, DALI, диммингом 0-10В. Светильники AIR IP54!</t>
    </r>
    <r>
      <rPr>
        <sz val="14"/>
        <color theme="1"/>
        <rFont val="Calibri"/>
        <family val="2"/>
        <charset val="204"/>
        <scheme val="minor"/>
      </rPr>
      <t xml:space="preserve">
Обновлены картинки Модулей МУЛЬТИ, добавлены чертежи на сайт.
М-48/61 КВАТРО и ПЕНТА удалены из прайса - их аналоги по потоку и мощности на базе М-96 предпочтительнее, т.к. при примерно равной цене драйвера содержат грозозащиту, защиту от 380, термозащиту.
Прожекторы 2MX с односторонним лучем переименованы в МХ (без "2").
Добавлен 53Вт RGB прожектор с DMX, питание 230В АС.
Снижены цены на Инрей без DALI 900мм, 1200мм, 1500мм.
Светильник UL-35 возвращен в прайс.
Теперь можно заказать БАП на любой Модуль PRO за 3000руб.</t>
    </r>
  </si>
  <si>
    <t>в.1.9.5</t>
  </si>
  <si>
    <t>В стандартных Модулях сменилась крышка со стальной на пластиковую. Отгрузки производятся уже с новыми крышками. 
Появился раздел РАСПРОДАЖА в новой вкладке. Светильники со сниженной ценой, количество ограничено.
В прайс добавлен новый mini-прожектор 2MX - для архитектурного освещения. Доступен в одно и двух лучевом исполнении. Мощность на двухлучевых указана с двух лучей суммарно. Т.е. если указано 18Вт значит это каждый луч по 9 Вт. 18=2*9Вт  
Армстронги: цены снижены.
В пластиковых Айсбергах обновлен корпус - изменились размеры и внешний вид. 
В нижней части прайс-листа добавлен раздел "Архив" - туда попадают продукты на стадии end-of-production.
В прайс добавлены светильники Модуль M-96W и M-79W на блоке питания MeanWell ELG.
Изменены габаритные размеры лиры на мульти-светильниках М-79 и М-96.
RTL-G - снят с производства.</t>
  </si>
  <si>
    <t>в.1.9.4</t>
  </si>
  <si>
    <t xml:space="preserve">Изменен вид универсального крепежа на светильниках: M-32/48/61/96, M-27/53/79, M-32/48/61 DUJ, TRIO, M-27/53 DUO, TRIO.
Изменены цены на линейные светильники для торговых залов серии RTL-B.
Добавлены Армстронги IP54 на 40, 50Вт.
Светильники High-Bay "Ромашка" поставляются в сборе с тросовым крепежом и карабином. </t>
  </si>
  <si>
    <t>в.1.9.3</t>
  </si>
  <si>
    <t>Гарантия на низковольтные Модули изменена на 3 года.
IP низковлольтного Форта изменена на IP66.</t>
  </si>
  <si>
    <t>в.1.9.2</t>
  </si>
  <si>
    <t>Добавлены промышленные светильники на 1 тросовый подвес "Ромашка High-Bay", сделанные на основе светильников "Модуль с защитой от 380В" со вторичной оптикой и без.</t>
  </si>
  <si>
    <t>в.1.9.1</t>
  </si>
  <si>
    <t>Временно блоки питания в "Модулях" 79, 96 Вт с "Трион с диммингом 0-10В", заменены на "Аргос/Трион без димминга".</t>
  </si>
  <si>
    <t>в. 1.9</t>
  </si>
  <si>
    <r>
      <rPr>
        <sz val="14"/>
        <color theme="1"/>
        <rFont val="Calibri"/>
        <family val="2"/>
        <charset val="204"/>
        <scheme val="minor"/>
      </rPr>
      <t xml:space="preserve">НДС 20%. Цены с НДС выросли на 1.7%
Добавлены "Модули" с защитой от 380 отдельными позициями.
Добавлена серия светильников "Модуль COLOR" - прожекторы с оптикой и цветными светодиодами.
Напряжение питания на светильниках КОБ и Модуль ПРО с блоками питания MeanWell изменено на 200-300В АС, 50Гц.
В аварийных светильниках пункт гарантия изменен на: </t>
    </r>
    <r>
      <rPr>
        <i/>
        <sz val="14"/>
        <color theme="1"/>
        <rFont val="Calibri"/>
        <family val="2"/>
        <charset val="204"/>
        <scheme val="minor"/>
      </rPr>
      <t>"3 года. Срок службы АКБ 2 года. Замена и обслуживание АКБ в гарантию не входит."</t>
    </r>
  </si>
  <si>
    <t>в. 1.8.6.1</t>
  </si>
  <si>
    <t>Незначительные улучшения и изменения</t>
  </si>
  <si>
    <t>в. 1.8.6</t>
  </si>
  <si>
    <t>Добавлены МОДУЛИ PRO!
Модуль для дорог М27/53/79-140*45 теперь появился на консоли отдельной позицией.</t>
  </si>
  <si>
    <t>в. 1.8.5</t>
  </si>
  <si>
    <t xml:space="preserve">Добавлены Модули КВАТРО-ПЕНТА. </t>
  </si>
  <si>
    <t>в. 1.8.4</t>
  </si>
  <si>
    <t>В светильниках Модуль 79 и 96 Вт блок изменен на Трион с диммингом 0-10В, защитой от 380В и грозозащитой.
Изменена светоотдача светильников КОБ, получены протоколы Архилайт.
Изменены длины лучей, они теперь указаны с учетом кабельного ввода и крышек. Кабельный ввод теперь "назад". Допуск по длине минус 2-5мм.</t>
  </si>
  <si>
    <t>в. 1.8.3</t>
  </si>
  <si>
    <t>В архитектурных лучах и фортах - прозрачный поликарбонат заменен на прозрачный компаунд. Светильники теперь без рассеивателя.</t>
  </si>
  <si>
    <t>в. 1.8.2</t>
  </si>
  <si>
    <t>Гарантия на светильники серии "Модуль" расширена до 5 лет.</t>
  </si>
  <si>
    <t>в. 1.8.1</t>
  </si>
  <si>
    <t>МРЦ теперь на 25% дороже дилера. (Было на 20%)
Снижены цены на большинство позиций.</t>
  </si>
  <si>
    <t>в. 1.8</t>
  </si>
  <si>
    <t>Добавлен раздел: "Модуль без креплений"
Добавлены низковольтные Лучи на 24В DC в трех длинах.
В раздел Лучей с индивидуальными блоками добавлена новая позиция на 630мм.
Теперь все Лучи выпускаются на керамических светодиодах в т.ч. версия без оптики. 
Снят с пр-ва SVT-RGB-PSL-81W
Добавлены теплостойкие версии светильников (до+60)
Добавлены версии COB: DUO, TRIO, QUATTRO 
Добавлен раздел: "Офисные лучи"
Добавлен раздел светильников типа "Колокол"
Добавлены тросовые подвесы в раздел "Крепеж"
Добавлены несколько моделей Фито-светильников
Переработан раздел Низковольтные
Раздел MS был устранен, а в раздел PSL добавлена оптика для дорог 45x140. Коды товаров при этом остались от MS.
Серия RTL-X снята с производства.
Добавлена серия RTL-G для встройки в гипсокартонный потолок.</t>
  </si>
  <si>
    <t>в. 1.7</t>
  </si>
  <si>
    <t>Добавлен раздел "Морозостойкие"
Добавлен раздел Модуль с оптикой ДУО-ТРИО-КВАТРО.</t>
  </si>
  <si>
    <t>в. 1.6.3</t>
  </si>
  <si>
    <t>Изменились цены на некоторые АРМы и US-31.</t>
  </si>
  <si>
    <t>в. 1.6.2</t>
  </si>
  <si>
    <t>Изменились цены на UL. Сняты с производства позиции: UL-22, UL-35, UL-35-1M, UL-50-1M.</t>
  </si>
  <si>
    <t>в. 1.6.1</t>
  </si>
  <si>
    <t>Изменились цены на ЛСП, ФОРТЫ, ЖКХ.</t>
  </si>
  <si>
    <t>в. 1.6</t>
  </si>
  <si>
    <t>Теперь в пользовании находится только данный прайс-лист (НЕ ДВА). Начиная с версии 1.6 заказы принимаются только на основе него. Старый многостраничный сайт более не действует.
В 100Вт-ных моделях драйвер Аргос с защитой от 380В и грозозащитой заменен на 
-&gt; Аргос/Трион с защитой от 380В и грозозащитой. 
Добавлены позиции: UL, Сферы ЖКХ из старого прайс-листа. 
Изменились цены на Форт 900,1200,1500мм. Гарантия на Форт повысилась с 3х до 5ти лет.
В характеристиках добавился параметр "Объем упаковки" для расчета логистики.</t>
  </si>
  <si>
    <t>в. 1.5.1</t>
  </si>
  <si>
    <t>Добавлены картинки к модулям ДУО-ТРИО.
Повышены цены на светильники с БАПами. 
Исправлены некоторые ошибки.</t>
  </si>
  <si>
    <t>в. 1.5</t>
  </si>
  <si>
    <t>Добавлен код товара. 
Повысились цены на позиции: "Модуль + Модуль с оптикой", "Inray без DALI", "Fort без оптики"
Теперь в прайсе нет композитных товаров: все модели с -ХХ на конце (углы оптики или напряжение питания низковольтных) раскрыты в виде отдельных позиций с присвоением кодов товара.</t>
  </si>
  <si>
    <t>в. 1.4.4.</t>
  </si>
  <si>
    <r>
      <rPr>
        <sz val="14"/>
        <color theme="1"/>
        <rFont val="Calibri"/>
        <family val="2"/>
        <charset val="204"/>
        <scheme val="minor"/>
      </rPr>
      <t xml:space="preserve">Добавлен светильник SVT-ARH-DS-27W в раздел PSL. 
Изменена длина лучей с 1000 на 950мм: световая линиия 900мм, длина профиля 920мм, длина кабельного ввода с крышками 30мм.
</t>
    </r>
    <r>
      <rPr>
        <b/>
        <sz val="14"/>
        <color theme="1"/>
        <rFont val="Calibri"/>
        <family val="2"/>
        <charset val="204"/>
        <scheme val="minor"/>
      </rPr>
      <t>Изменились цены на Лучи с оптикой и без.</t>
    </r>
  </si>
  <si>
    <t>в. 1.4.3</t>
  </si>
  <si>
    <t>Изменен артикул крепежа Модулей с ТРИО45 на ТРИО90</t>
  </si>
  <si>
    <t>в. 1.4.2</t>
  </si>
  <si>
    <t>Исправлена цена Модуль 48Вт ТРИО (была цена Трио 32Вт).</t>
  </si>
  <si>
    <t>в. 1.4.1</t>
  </si>
  <si>
    <t xml:space="preserve">Исправлена цена PSL-53 (была цена PSL-27). Изменены артикулы, цены и блоки питания (добавлена защита от 380В) в UV-62/124. </t>
  </si>
  <si>
    <t>в. 1.4</t>
  </si>
  <si>
    <t>Увеличены цены на Армы. Добавлены новые позиции "Модуль ДУО, ТРИО". Изменены характеристики (артикул, мощность, поток, блок питания теперь с защитой от 380 по умолчанию) светильников UV, US в т.ч. в разделе "Взрывозащищенные" и "Низковольтные".</t>
  </si>
  <si>
    <t>в. 1.3</t>
  </si>
  <si>
    <t>Внесены 3 позиции: Модули V "Галочки"</t>
  </si>
  <si>
    <t>в. 1.2.1</t>
  </si>
  <si>
    <t>Изменены цены на крепеж для светильников Модули и US</t>
  </si>
  <si>
    <t>в. 1.2</t>
  </si>
  <si>
    <t>Добавлены позиции крепежа и соединителей для светильников Модули и US</t>
  </si>
  <si>
    <t>в. 1.1</t>
  </si>
  <si>
    <t xml:space="preserve">Добавлены светильники COB в корпусах из листового металла в раздел COB:
SVT-STR-COB-***
Изменены артикулы светильников COB в корпусе из экструдированного алюминия:
взамен SVT-STR-P-COB стало SVT-P-COB (без STR)
Добавлены новые IES для COB, в т.ч. угол 45гр.
</t>
  </si>
  <si>
    <t>Названия строк</t>
  </si>
  <si>
    <t>Общий итог</t>
  </si>
  <si>
    <t xml:space="preserve">Св. поток: </t>
  </si>
  <si>
    <t>лм</t>
  </si>
  <si>
    <t>Светильник светодиодный</t>
  </si>
  <si>
    <t xml:space="preserve">Мощность: </t>
  </si>
  <si>
    <t>Вт</t>
  </si>
  <si>
    <t xml:space="preserve">IP: </t>
  </si>
  <si>
    <t xml:space="preserve">Гарантия: </t>
  </si>
  <si>
    <t xml:space="preserve">Питание: </t>
  </si>
  <si>
    <t xml:space="preserve">ССТ: </t>
  </si>
  <si>
    <t xml:space="preserve">Климатич. исп.: </t>
  </si>
  <si>
    <t xml:space="preserve">Размеры: </t>
  </si>
  <si>
    <t>мм</t>
  </si>
  <si>
    <t>Дата производства:</t>
  </si>
  <si>
    <t xml:space="preserve">Масса: </t>
  </si>
  <si>
    <t>кг</t>
  </si>
  <si>
    <t xml:space="preserve">Т окр.: </t>
  </si>
  <si>
    <t>ТУ 3461-001-13896736-2018</t>
  </si>
  <si>
    <t xml:space="preserve">Дата производства: </t>
  </si>
  <si>
    <t>тел: +7 (812) 309-16-03</t>
  </si>
  <si>
    <t>gcsvt.ru</t>
  </si>
  <si>
    <t>Обновление прайс-листа: разделение на вкладки "прайс свет" и "прайс уф"</t>
  </si>
  <si>
    <t>105 / 114</t>
  </si>
  <si>
    <t>Добавлена стойка для рециркуляторов "Antibiotik" 150 - 300 м3/час</t>
  </si>
  <si>
    <t>Под заказ</t>
  </si>
  <si>
    <t>Горячий цинк</t>
  </si>
  <si>
    <t>ОМКЦа-3</t>
  </si>
  <si>
    <t>ОМКЦа-7</t>
  </si>
  <si>
    <t>ОМКЦа-6</t>
  </si>
  <si>
    <t>ОМКЦа-5</t>
  </si>
  <si>
    <t>ОМКЦа-4</t>
  </si>
  <si>
    <t>ОМКЦа-8</t>
  </si>
  <si>
    <t>ОМКЦа-9</t>
  </si>
  <si>
    <t>ОМКЦа-10</t>
  </si>
  <si>
    <t>SVT-ОМКЦа-8-3-150-70</t>
  </si>
  <si>
    <t>SVT-ОМКЦа-8-4-150-70</t>
  </si>
  <si>
    <t>SVT-ОМКЦа-9-3-160-70</t>
  </si>
  <si>
    <t>SVT-ОМКЦа-3-3-100-70</t>
  </si>
  <si>
    <t>SVT-ОМКЦа-4-3-110-70</t>
  </si>
  <si>
    <t>SVT-ОМКЦа-5-3-120-70</t>
  </si>
  <si>
    <t>SVT-ОМКЦа-6-3-130-70</t>
  </si>
  <si>
    <t>SVT-ОМКЦа-7-3-140-70</t>
  </si>
  <si>
    <t>SVT-ОМКЦа-9-4-160-70</t>
  </si>
  <si>
    <t>SVT-ОМКЦа-10-3-170-70</t>
  </si>
  <si>
    <t>SVT-ОМКЦа-10-4-170-70</t>
  </si>
  <si>
    <t>SVT-ОМКЦа-10-3-200-100</t>
  </si>
  <si>
    <t>SVT-ОМКЦа-10-4-200-100</t>
  </si>
  <si>
    <t>25 лет</t>
  </si>
  <si>
    <t>Возможно изготовление опор по чертежам и заявкам заказчика.</t>
  </si>
  <si>
    <t>SVT-ОМКЦа-1.jpg</t>
  </si>
  <si>
    <t>SVT-ОМКЦа-2.jpg</t>
  </si>
  <si>
    <t>SVT-ОМКЦа-3.jpg</t>
  </si>
  <si>
    <t>SVT-ОМКЦа-4.jpg</t>
  </si>
  <si>
    <t>SVT-ОМКЦа-5.jpg</t>
  </si>
  <si>
    <t>SVT-ОМКЦа-6.jpg</t>
  </si>
  <si>
    <t>ОГКа-3</t>
  </si>
  <si>
    <t>ОГКа-4</t>
  </si>
  <si>
    <t>ОГКа-5</t>
  </si>
  <si>
    <t>ОГКа-6</t>
  </si>
  <si>
    <t>ОГКа-7</t>
  </si>
  <si>
    <t>ОГКа-8</t>
  </si>
  <si>
    <t>ОГКа-9</t>
  </si>
  <si>
    <t>ОГКа-10</t>
  </si>
  <si>
    <t>Опора круглая ОМКЦа</t>
  </si>
  <si>
    <t>Опора граненая ОГКа</t>
  </si>
  <si>
    <t>Опоры освещения/Конические опоры круглые</t>
  </si>
  <si>
    <t>Опоры освещения/Конические опоры граненые</t>
  </si>
  <si>
    <t>Тип фундамента*</t>
  </si>
  <si>
    <t>Фланец, мм*</t>
  </si>
  <si>
    <t>Толщина стенки, мм*</t>
  </si>
  <si>
    <t>D2 (диаметр верха), мм*</t>
  </si>
  <si>
    <t>D1 (диаметр основания), мм*</t>
  </si>
  <si>
    <t>Опоры конические не силовые круглые анкерные для установки на фундамент типа ФБ (со шпильками)</t>
  </si>
  <si>
    <t>Опоры конические не силовые граненые анкерные для установки на фундамент типа ФБ (со шпильками)</t>
  </si>
  <si>
    <t>Опоры конические не силовые круглые анкерные для установки на фундамент типа ФБ (со шпильками).
Возможно изготовление опор по чертежам и заявкам заказчика;
Покрытие - горячий цинк по ГОСТ 9.307-89;
Комплектация:
Кабель - по заказу;
Коммутационный блок - по заказу;
Кронштейн - по заказу;
Фундамент - по заказу.</t>
  </si>
  <si>
    <t>Опоры конические не силовые граненые анкерные для установки на фундамент типа ФБ (со шпильками).
Возможно изготовление опор по чертежам и заявкам заказчика;
Покрытие - горячий цинк по ГОСТ 9.307-89;
Комплектация:
Кабель - по заказу;
Коммутационный блок - по заказу;
Кронштейн - по заказу;
Фундамент - по заказу.</t>
  </si>
  <si>
    <t>БЕТОННЫЕ ФУНДАМЕНТЫ ПОД ОПОРЫ И МАЧТЫ</t>
  </si>
  <si>
    <t>300x300</t>
  </si>
  <si>
    <t>400x400</t>
  </si>
  <si>
    <t>220x220</t>
  </si>
  <si>
    <t>ФБЛ</t>
  </si>
  <si>
    <t>ФБТ</t>
  </si>
  <si>
    <t>Опоры освещения/Бетонные фундаменты</t>
  </si>
  <si>
    <t>fbl_3-1.jpg</t>
  </si>
  <si>
    <t>fbl_fbt_chertezh_300x300.jpg</t>
  </si>
  <si>
    <t>fbl_fbt_chertezh_400x400.jpg</t>
  </si>
  <si>
    <t xml:space="preserve">ОБЩИЕ УКАЗАНИЯ:
1. Технические решения, принятые в рабочих чертежах, соответствуют требованиям экологических, санитарно-гигиенических, противопожар¬ных и других действующих норм и правил и обеспечивают безопасную для жизни и здоровья людей эксплуатацию объекта при соблюдении предусмотренных рабочими чертежами мероприятий;
2. Климатический район строительства - II В;
3. Расчетная температура наружного воздуха - минус 24°С;
4. В проекте приняты следующие нормативные нагрузки: 
- нормативное давление веса снегового покрова для IIБ района -1,20 кПа согласно СНиП 2.01.07-85 «Нагрузки и воздействия» изм.1 
- нормативное значение ветрового давления для I района - 0,23 кПа согласно СНиП 2.01.07-85 «Нагрузки и воздействия»;
5. Класс среды по условиям эксплуатации конструкций - ХА2;
6. Уровень ответственности - III по ГОСТ 27751-88 изменение;
7. Основанием фундаментов служат преобразованные путем послойного уплотнения при оптимальной влажности до Ксоm=0,95 песчаные грунты насыпи дороги;
8. Работы вести в соответствии СТКП45-1.03-40-2006 «Безопасность труда в строительстве. Общие требования» и ТКП45-1.03-44-2006 «Безопасность труда в строительстве. Строительное производство»;
9. Обратную засыпку пазух фундаментов выполнять песчаным непучинистым грунтом с послойным уплотнением до Ксоm=0,95;
10. Контроль степени уплотнения грунтов при обратной засыпке выполнять в соответствии с П-12-2000 к СНБ 5.01.01 «Контроль степени уплотнения грунтов при возведении земляных сооружений»;
</t>
  </si>
  <si>
    <t xml:space="preserve">Бетонный фундамент под опоры освещения.
Наш фундамент готов к установке.
Упрощает установку и сокращает время монтажа.
Технические характеристики:
- бетон класса С20/25;
- болтовые элементы горячеоцинкованные;
- боковые отверстия и вертикальное отверстие для введения кабелей;
- квадратное сечение.
Преимущества:
- одноэлементная конструкция облегчает установку фундамента в грунте;
- легкий и быстрый монтаж опор, независимо от времени года;
- высокое качество.
В комплект входит:
- гайка – 12 шт;
- шайба – 8 шт;
- шпилька – 4 шт.
</t>
  </si>
  <si>
    <t>SVT-ОГКа-3-3-100-60</t>
  </si>
  <si>
    <t>SVT-ОГКа-4-3-110-60</t>
  </si>
  <si>
    <t>SVT-ОГКа-5-3-120-60</t>
  </si>
  <si>
    <t>SVT-ОГКа-6-3-130-60</t>
  </si>
  <si>
    <t>SVT-ОГКа-7-3-140-60</t>
  </si>
  <si>
    <t>SVT-ОГКа-8-3-150-60</t>
  </si>
  <si>
    <t>SVT-ОГКа-8-4-150-60</t>
  </si>
  <si>
    <t>SVT-ОГКа-9-3-160-60</t>
  </si>
  <si>
    <t>SVT-ОГКа-9-4-160-60</t>
  </si>
  <si>
    <t>SVT-ОГКа-10-3-170-60</t>
  </si>
  <si>
    <t>SVT-ОГКа-10-4-170-60</t>
  </si>
  <si>
    <t>SVT-ОГКа-10-3-200-90</t>
  </si>
  <si>
    <t>SVT-ОГКа-10-4-200-90</t>
  </si>
  <si>
    <t>Высота опоры, м*</t>
  </si>
  <si>
    <t>Облегченный фундамент ФБЛ</t>
  </si>
  <si>
    <t>3-4</t>
  </si>
  <si>
    <t>4-5</t>
  </si>
  <si>
    <t>ФБЛ-ФБТ</t>
  </si>
  <si>
    <t>Усиленный фундамент ФБТ</t>
  </si>
  <si>
    <t>6-7</t>
  </si>
  <si>
    <t>7-8</t>
  </si>
  <si>
    <t>SVT-ФБЛ-1000-300-300-3-4</t>
  </si>
  <si>
    <t>SVT-ФБЛ-1200-300-300-4-5</t>
  </si>
  <si>
    <t>SVT-ФБЛ-1500-300-300-6-7</t>
  </si>
  <si>
    <t>SVT-ФБЛ-1700-300-300-7-8</t>
  </si>
  <si>
    <t>SVT-ФБТ-1000-400-400-4-5</t>
  </si>
  <si>
    <t>SVT-ФБТ-1200-400-400-5-7</t>
  </si>
  <si>
    <t>SVT-ФБТ-1500-400-400-8-10</t>
  </si>
  <si>
    <t>SVT-ФБТ-1700-400-400-10-12</t>
  </si>
  <si>
    <t>5-7</t>
  </si>
  <si>
    <t>8-10</t>
  </si>
  <si>
    <t>10-12</t>
  </si>
  <si>
    <t>ОМКЦа/ОГКа 3-4</t>
  </si>
  <si>
    <t>ОМКЦа/ОГКа 4-5</t>
  </si>
  <si>
    <t>ОМКЦа/ОГКа 6-7</t>
  </si>
  <si>
    <t>ОМКЦа/ОГКа 7-8</t>
  </si>
  <si>
    <t>ОМКЦа/ОГКа 5-7</t>
  </si>
  <si>
    <t>ОМКЦа/ОГКа 8-10</t>
  </si>
  <si>
    <t>ОМКЦа/ОГКа 10-12</t>
  </si>
  <si>
    <t>Тип опоры*</t>
  </si>
  <si>
    <t>Высота фундамента, мм*</t>
  </si>
  <si>
    <t>Расстояние между шпильками, мм*</t>
  </si>
  <si>
    <t>Покрытие*</t>
  </si>
  <si>
    <t>Коммутационный блок*</t>
  </si>
  <si>
    <t>Кронштейн*</t>
  </si>
  <si>
    <t>SVT-ZKH-12W-M-KRUG-IP65-4000K</t>
  </si>
  <si>
    <t>SVT-ZKH-12W-M-KRUG-IP65-SENSOR-4000K</t>
  </si>
  <si>
    <t>ФЕВРАЛЬ 2021</t>
  </si>
  <si>
    <t>Пиктограмма "выход налево" 260х100мм</t>
  </si>
  <si>
    <t>Пиктограмма "выход направо" 260х100мм</t>
  </si>
  <si>
    <t>Пиктограмма "указательная стрелка"  260х100мм</t>
  </si>
  <si>
    <t>SVT-OFF-EM-6W-1h (Без пиктограммы)</t>
  </si>
  <si>
    <t>SB-00015011</t>
  </si>
  <si>
    <t>SB-00015012</t>
  </si>
  <si>
    <t>SB-00015013</t>
  </si>
  <si>
    <t>SB-00015014</t>
  </si>
  <si>
    <t>SB-00015015</t>
  </si>
  <si>
    <t>SB-00015016</t>
  </si>
  <si>
    <t>SB-00015017</t>
  </si>
  <si>
    <t>SB-00015018</t>
  </si>
  <si>
    <t>SB-00015019</t>
  </si>
  <si>
    <t>SB-00015020</t>
  </si>
  <si>
    <t>SB-00015021</t>
  </si>
  <si>
    <t>SB-00015022</t>
  </si>
  <si>
    <t>260х100</t>
  </si>
  <si>
    <t>Пиктограмма "ВЫХОД" 260х100мм</t>
  </si>
  <si>
    <t>Пиктограмма "выход вниз по лестнице налево" 260х100мм</t>
  </si>
  <si>
    <t>Пиктограмма "выход вверх по лестнице направо" 260х100мм</t>
  </si>
  <si>
    <t>Пиктограмма "выход вверх по лестнице налево" 260х100мм</t>
  </si>
  <si>
    <t>Пиктограмма "запасный выход" 260х100мм</t>
  </si>
  <si>
    <t>Пиктограмма "выход exit" 260х100мм</t>
  </si>
  <si>
    <t>Пиктограмма "exit" 260х100</t>
  </si>
  <si>
    <t>Пиктограмма "выход прямо вниз" 260х100мм</t>
  </si>
  <si>
    <t>Пиктограмма "выход вниз по лестнице направо" 260х100мм</t>
  </si>
  <si>
    <t>https://gcsvt.ru/svetodiodnyie-svetilniki/svt-fbl-1000-300-300-3-4/</t>
  </si>
  <si>
    <t>https://gcsvt.ru/svetodiodnyie-svetilniki/svt-fbl-1200-300-300-4-5/</t>
  </si>
  <si>
    <t>https://gcsvt.ru/svetodiodnyie-svetilniki/svt-fbl-1500-300-300-6-7/</t>
  </si>
  <si>
    <t>https://gcsvt.ru/svetodiodnyie-svetilniki/svt-fbl-1700-300-300-7-8/</t>
  </si>
  <si>
    <t>https://gcsvt.ru/svetodiodnyie-svetilniki/svt-fbt-1000-400-400-4-5/</t>
  </si>
  <si>
    <t>https://gcsvt.ru/svetodiodnyie-svetilniki/svt-fbt-1200-400-400-5-7/</t>
  </si>
  <si>
    <t>https://gcsvt.ru/svetodiodnyie-svetilniki/svt-fbt-1500-400-400-8-10/</t>
  </si>
  <si>
    <t>https://gcsvt.ru/svetodiodnyie-svetilniki/svt-fbt-1700-400-400-10-12/</t>
  </si>
  <si>
    <t>https://gcsvt.ru/svetodiodnyie-svetilniki/svt-omktsa-3-3-100-70/</t>
  </si>
  <si>
    <t>https://gcsvt.ru/svetodiodnyie-svetilniki/svt-omktsa-4-3-110-70/</t>
  </si>
  <si>
    <t>https://gcsvt.ru/svetodiodnyie-svetilniki/svt-omktsa-5-3-120-70/</t>
  </si>
  <si>
    <t>https://gcsvt.ru/svetodiodnyie-svetilniki/svt-omktsa-6-3-130-70/</t>
  </si>
  <si>
    <t>https://gcsvt.ru/svetodiodnyie-svetilniki/svt-omktsa-7-3-140-70/</t>
  </si>
  <si>
    <t>https://gcsvt.ru/svetodiodnyie-svetilniki/svt-omktsa-8-3-150-70/</t>
  </si>
  <si>
    <t>https://gcsvt.ru/svetodiodnyie-svetilniki/svt-omktsa-8-4-150-70/</t>
  </si>
  <si>
    <t>https://gcsvt.ru/svetodiodnyie-svetilniki/svt-omktsa-9-3-160-70/</t>
  </si>
  <si>
    <t>https://gcsvt.ru/svetodiodnyie-svetilniki/svt-omktsa-9-4-160-70/</t>
  </si>
  <si>
    <t>https://gcsvt.ru/svetodiodnyie-svetilniki/svt-omktsa-10-3-170-70/</t>
  </si>
  <si>
    <t>https://gcsvt.ru/svetodiodnyie-svetilniki/svt-omktsa-10-4-170-70/</t>
  </si>
  <si>
    <t>https://gcsvt.ru/svetodiodnyie-svetilniki/svt-omktsa-10-3-200-100/</t>
  </si>
  <si>
    <t>https://gcsvt.ru/svetodiodnyie-svetilniki/svt-omktsa-10-4-200-100/</t>
  </si>
  <si>
    <t>https://gcsvt.ru/svetodiodnyie-svetilniki/svt-ogka-3-3-100-60/</t>
  </si>
  <si>
    <t>https://gcsvt.ru/svetodiodnyie-svetilniki/svt-ogka-4-3-110-60/</t>
  </si>
  <si>
    <t>https://gcsvt.ru/svetodiodnyie-svetilniki/svt-ogka-5-3-120-60/</t>
  </si>
  <si>
    <t>https://gcsvt.ru/svetodiodnyie-svetilniki/svt-ogka-6-3-130-60/</t>
  </si>
  <si>
    <t>https://gcsvt.ru/svetodiodnyie-svetilniki/svt-ogka-7-3-140-60/</t>
  </si>
  <si>
    <t>https://gcsvt.ru/svetodiodnyie-svetilniki/svt-ogka-8-3-150-60/</t>
  </si>
  <si>
    <t>https://gcsvt.ru/svetodiodnyie-svetilniki/svt-ogka-8-4-150-60/</t>
  </si>
  <si>
    <t>https://gcsvt.ru/svetodiodnyie-svetilniki/svt-ogka-9-3-160-60/</t>
  </si>
  <si>
    <t>https://gcsvt.ru/svetodiodnyie-svetilniki/svt-ogka-9-4-160-60/</t>
  </si>
  <si>
    <t>https://gcsvt.ru/svetodiodnyie-svetilniki/svt-ogka-10-3-170-60/</t>
  </si>
  <si>
    <t>https://gcsvt.ru/svetodiodnyie-svetilniki/svt-ogka-10-4-170-60/</t>
  </si>
  <si>
    <t>https://gcsvt.ru/svetodiodnyie-svetilniki/svt-ogka-10-3-200-90/</t>
  </si>
  <si>
    <t>https://gcsvt.ru/svetodiodnyie-svetilniki/svt-ogka-10-4-200-90/</t>
  </si>
  <si>
    <t>1 - Сижение цен на бактерицидные рециркуляторы воздуха:
SVT-SPC-Med-UV-Antibiotik-25; 
SVT-SPC-Med-ARM-595-595-UVC-18W-30W-5000K-PR; 
SVT-SPC-Med-ARM-595-595-UVC-18W;
Вся серия SVT-SPC-Med-Doc;
Вся серия SVT-SPC-Med-UVC-vent.
2 - Повышение цен на Даунлайты (+20%);
3 - Ввод в ассортимент:
Опоры освещения - вкладка в прайс-листе "Прайс опоры и фундамент"; 
Закладные детали для опор освещения - вкладка в прайс-листе "Прайс опоры и фундамент".</t>
  </si>
  <si>
    <t>Модуль PRO может быть оснащен блоком аварийного питания (БАП) со временем автономной работы 1 час при температуре эксплуатации от 1° до 40°С за 3250 р к цене изделия.</t>
  </si>
  <si>
    <t>SVT-STR-M-27W-45x140-DUO-С</t>
  </si>
  <si>
    <t>SVT-STR-M-27W-45x140-DUO-С (с защитой от 380)</t>
  </si>
  <si>
    <t>SVT-STR-M-53W-45x140-DUO-С</t>
  </si>
  <si>
    <t>SVT-STR-M-53W-45x140-DUO-С (с защитой от 380)</t>
  </si>
  <si>
    <t>SVT-STR-M-79W-45x140-DUO-С</t>
  </si>
  <si>
    <t>SVT-STR-M-27W-45x140-TRIO-С</t>
  </si>
  <si>
    <t>SVT-STR-M-27W-45x140-TRIO-С (с защитой от 380)</t>
  </si>
  <si>
    <t>SVT-STR-M-53W-45x140-TRIO-С</t>
  </si>
  <si>
    <t>SVT-STR-M-53W-45x140-TRIO-С (с защитой от 380)</t>
  </si>
  <si>
    <t>SVT-STR-M-79W-45x140-TRIO-С</t>
  </si>
  <si>
    <t>SVT-STR-M-С</t>
  </si>
  <si>
    <t>SVT-STR-M-С-2</t>
  </si>
  <si>
    <t>SVT-ARM-RP-1240x290x90-34W-М-4000К</t>
  </si>
  <si>
    <t>SVT-ARM-RP-1240x290x90-34W-М-4000К-InBAT-2h</t>
  </si>
  <si>
    <t>1240x290x90</t>
  </si>
  <si>
    <t>МАРТ 2021</t>
  </si>
  <si>
    <t xml:space="preserve">1 - Изменение в ценовой политике: 
- Ценовая колонка "Дилер" - Без изменений;
- От "Дилера" до "МРЦ" - 35%;
- От "Дилера" до "ОПТ" - 45%;
- От "Дилера" до "Мелкий ОПТ" - 50%;
- От "Дилера" до "РРЦ" - 70%;
2 - Повышение цен на сверхтонкие панели с равномерной заливкой: 
SVT-ARM-Panel-RZ-595x595x17-32W-IP20-M; SVT-ARM-Panel-RZ-1195x295x17-32W-IP20-M.
</t>
  </si>
  <si>
    <t>SVT-ARM-U-595x595x40-28W-PR</t>
  </si>
  <si>
    <t>SVT-ARM-U-595x595x40-38W-PR</t>
  </si>
  <si>
    <t>SVT-ARM-U-595x595x40-47W-PR</t>
  </si>
  <si>
    <t>100mA</t>
  </si>
  <si>
    <t>116mA</t>
  </si>
  <si>
    <t>Edison 84шт</t>
  </si>
  <si>
    <t>Edison 96шт</t>
  </si>
  <si>
    <t>Edison 120шт</t>
  </si>
  <si>
    <t>SB-00009797</t>
  </si>
  <si>
    <t>SB-00015242</t>
  </si>
  <si>
    <t>SB-00015243</t>
  </si>
  <si>
    <t>МАРТ 2021 V2</t>
  </si>
  <si>
    <t>1 -  Ввод в ассортимент:
Архитектурный светодиодный светильник серии «ARH-Tube» 500/1000/1500 мм
2 - Ввод в ассортимент:
Офисный светодиодный светильник серии "ARM-U" 595x595x40-28/38/47 Вт (139 лм/Вт).</t>
  </si>
  <si>
    <t>Накладное (на потолок)</t>
  </si>
  <si>
    <t>ARM-B-IP54</t>
  </si>
  <si>
    <t>АПРЕЛЬ 2021</t>
  </si>
  <si>
    <t>595х595х70</t>
  </si>
  <si>
    <t>Edison 252шт</t>
  </si>
  <si>
    <t>Edison 288шт</t>
  </si>
  <si>
    <t>Edison 324шт</t>
  </si>
  <si>
    <t>SVT-ARM-B-595x595x70-33W-IP54-ZR</t>
  </si>
  <si>
    <t>SVT-ARM-B-595x595x70-37W-IP54-ZR</t>
  </si>
  <si>
    <t>SVT-ARM-B-595x595x70-42W-IP54-ZR</t>
  </si>
  <si>
    <t>38,9мА</t>
  </si>
  <si>
    <t>SB-00015380</t>
  </si>
  <si>
    <t>SB-00015383</t>
  </si>
  <si>
    <t>SB-00015384</t>
  </si>
  <si>
    <t>Матовый полистирол</t>
  </si>
  <si>
    <t>SVT-STR-M-80W-DUO</t>
  </si>
  <si>
    <t>SVT-STR-M-80W-DUO-C</t>
  </si>
  <si>
    <t>SVT-STR-M-80W-TRIO</t>
  </si>
  <si>
    <t>SVT-STR-M-80W-TRIO-C</t>
  </si>
  <si>
    <t>SVT-STR-M-80W-QUATTRO</t>
  </si>
  <si>
    <t>SVT-STR-M-80W-PENTA</t>
  </si>
  <si>
    <t>Samsung LM281B+ 520 шт</t>
  </si>
  <si>
    <t>Samsung LM281B+ 780 шт</t>
  </si>
  <si>
    <t>Samsung LM281B+ 1040 шт</t>
  </si>
  <si>
    <t>Samsung LM281B+ 1300 шт</t>
  </si>
  <si>
    <t>510х210х276</t>
  </si>
  <si>
    <t>SB-00014565</t>
  </si>
  <si>
    <t>SB-00014933</t>
  </si>
  <si>
    <t>SB-00014988</t>
  </si>
  <si>
    <t>SB-00015429</t>
  </si>
  <si>
    <t>SB-00015430</t>
  </si>
  <si>
    <t>SB-00015431</t>
  </si>
  <si>
    <t>Ввод в ассортимент:
Офисный светодиодный светильник серии "ARM-B-IP54" 595x595x70-33/37/42 Вт (113 лм/Вт) с равномерной световой заливкой</t>
  </si>
  <si>
    <t>460х210х278</t>
  </si>
  <si>
    <t>460x320x278</t>
  </si>
  <si>
    <t>460x430x278</t>
  </si>
  <si>
    <t>460x540x278</t>
  </si>
  <si>
    <t>460x260x90</t>
  </si>
  <si>
    <t>460x300x120</t>
  </si>
  <si>
    <t>460х100х195</t>
  </si>
  <si>
    <t>460х100х120</t>
  </si>
  <si>
    <t>Osram Duris S8 112шт</t>
  </si>
  <si>
    <t>606x240x235</t>
  </si>
  <si>
    <t>406x240x325</t>
  </si>
  <si>
    <t>SVT-STR-BM-60W-60-DUO</t>
  </si>
  <si>
    <t>SVT-STR-BM-60W-30-DUO</t>
  </si>
  <si>
    <t>SVT-STR-BM-60W-45x140-DUO</t>
  </si>
  <si>
    <t>SVT-STR-BM-90W-45x140-DUO</t>
  </si>
  <si>
    <t>SVT-STR-BM-90W-30-DUO</t>
  </si>
  <si>
    <t>SVT-STR-BM-90W-60-DUO</t>
  </si>
  <si>
    <t>Osram Duris S8 168шт</t>
  </si>
  <si>
    <t>SB-00015512</t>
  </si>
  <si>
    <t>SB-00015513</t>
  </si>
  <si>
    <t>SB-00015514</t>
  </si>
  <si>
    <t>SB-00014682</t>
  </si>
  <si>
    <t>SB-00015515</t>
  </si>
  <si>
    <t>SB-00015516</t>
  </si>
  <si>
    <t>Пожаробезопасный модуль</t>
  </si>
  <si>
    <t>SVT-STR-MPB-32W</t>
  </si>
  <si>
    <t>SVT-STR-MPB-48W</t>
  </si>
  <si>
    <t>SVT-STR-MPB-61W</t>
  </si>
  <si>
    <t>Стекло закаленное силикатное прозрачное (4 мм)</t>
  </si>
  <si>
    <t>АПРЕЛЬ 2021.V2</t>
  </si>
  <si>
    <t>Ввод в ассортимент:
1- Кассета "BM" SVT-STR-BM-60W-DUO / SVT-STR-BM-90W-DUO (доступны следующие КСС: ШБ, 45x140;  К, 30; Г, 60)
2 - Пожаробезопасные светильники (Пожаробезопасный модуль для пожароопасных зон (П-I, П-II, П-IIа))
SVT-STR-MPB-32/48/61/80/96 Вт
3 - Снижение цен на УФ продукцию (-10%):
4 - Подорожание следующих позиций:
SVT-P-I-v2-1200-36W-IP65-M-InBat;
SVT-ARM-U-AIR-1195x200x34-29W-IP54-PR-InBat;
SVT-ARM-U-AIR-595x595x34-29W-PR-InBat-IP54;
SVT-ARM-U-AIR-1195x200x34-29W-IP54-PR-InBat;
SVT-ARM-RP-1240x290x90-34W-М-4000К-InBAT-2h;
SVT-OFF-DL-30W-4000K-InBat;
SVT-ARM-U-AIR-595x595x34-29W-PR-InBat-IP54;
SVT-ARM-U-AIR-1195x200x34-29W-IP54-PR-InBat;
SVT-ARM-U-595x595x40-30W-PR-inBAT-2h;
SVT-P-I-v2-1200-36W-IP65-M-InBat;
SVT-OFF-DL-30W-4000K-InBat;
SVT-P-I-1280-30W-T-inBAT-2h;
SVT-P-I-1280-30W-M-inBAT-2h;
SVT-P-I-390-18W-M-IP65-inBAT-2h;
SVT-P-UL-35W-inBAT-2h.</t>
  </si>
  <si>
    <t>по запросу</t>
  </si>
  <si>
    <t>МАЙ 2021</t>
  </si>
  <si>
    <t>Без изменений</t>
  </si>
  <si>
    <t>SB-00015703</t>
  </si>
  <si>
    <t>SB-00015708</t>
  </si>
  <si>
    <t>SB-00015712</t>
  </si>
  <si>
    <t>SB-00015710</t>
  </si>
  <si>
    <t>SVT-STR-MPB-48W-DUO</t>
  </si>
  <si>
    <t>Samsung LM281B+ 528 шт</t>
  </si>
  <si>
    <t>500х97х145</t>
  </si>
  <si>
    <t>400х97х145</t>
  </si>
  <si>
    <t>500х210х291</t>
  </si>
  <si>
    <t>600х97х145</t>
  </si>
  <si>
    <t>SVT-ARM-N-595x595x40-38W-PR-IP54</t>
  </si>
  <si>
    <t>SVT-ARM-N-595x595x40-28W-PR-IP54</t>
  </si>
  <si>
    <t>SVT-ARM-B-595x595x40-28W-PR-IP54</t>
  </si>
  <si>
    <t>SVT-ARM-B-595x595x40-38W-PR-IP54</t>
  </si>
  <si>
    <t>SVT-ARM-N-595x595x40-47W-PR-IP54</t>
  </si>
  <si>
    <t>SVT-ARM-B-595x595x40-47W-PR-IP54</t>
  </si>
  <si>
    <t>SVT-STR-EXTREME-103W-38</t>
  </si>
  <si>
    <t>SVT-STR-EXTREME-103W-45</t>
  </si>
  <si>
    <t>SVT-STR-EXTREME-103W-60</t>
  </si>
  <si>
    <t>SVT-STR-EXTREME-103W-90</t>
  </si>
  <si>
    <t>SVT-STR-EXTREME-103W-120</t>
  </si>
  <si>
    <t>SVT-STR-EXTREME-154W-38</t>
  </si>
  <si>
    <t>SVT-STR-EXTREME-154W-45</t>
  </si>
  <si>
    <t>SVT-STR-EXTREME-154W-60</t>
  </si>
  <si>
    <t>SVT-STR-EXTREME-154W-90</t>
  </si>
  <si>
    <t>SVT-STR-EXTREME-154W-120</t>
  </si>
  <si>
    <t>SVT-STR-EXTREME-205W-38</t>
  </si>
  <si>
    <t>SVT-STR-EXTREME-205W-45</t>
  </si>
  <si>
    <t>SVT-STR-EXTREME-205W-60</t>
  </si>
  <si>
    <t>SVT-STR-EXTREME-205W-90</t>
  </si>
  <si>
    <t>SVT-STR-EXTREME-205W-120</t>
  </si>
  <si>
    <t>SVT-STR-EXTREME-257W-38</t>
  </si>
  <si>
    <t>SVT-STR-EXTREME-257W-45</t>
  </si>
  <si>
    <t>SVT-STR-EXTREME-257W-60</t>
  </si>
  <si>
    <t>SVT-STR-EXTREME-257W-90</t>
  </si>
  <si>
    <t>SVT-STR-EXTREME-257W-120</t>
  </si>
  <si>
    <t>EXTREME</t>
  </si>
  <si>
    <t>К, 38</t>
  </si>
  <si>
    <t>Боросиликатная линза</t>
  </si>
  <si>
    <t>700 мА</t>
  </si>
  <si>
    <t>334х300х210</t>
  </si>
  <si>
    <t>454х300х210</t>
  </si>
  <si>
    <t>584х300х210</t>
  </si>
  <si>
    <t>Samsung/Seoul 4 шт</t>
  </si>
  <si>
    <t>Samsung/Seoul 6 шт</t>
  </si>
  <si>
    <t>Samsung/Seoul 8 шт</t>
  </si>
  <si>
    <t>Samsung/Seoul 10 шт</t>
  </si>
  <si>
    <t>SB-00015858</t>
  </si>
  <si>
    <t>SB-00015856</t>
  </si>
  <si>
    <t>SB-00015855</t>
  </si>
  <si>
    <t>SB-00015854</t>
  </si>
  <si>
    <t>SB-00015853</t>
  </si>
  <si>
    <t>SB-00015852</t>
  </si>
  <si>
    <t>SB-00015851</t>
  </si>
  <si>
    <t>SB-00015850</t>
  </si>
  <si>
    <t>SB-00015849</t>
  </si>
  <si>
    <t>SB-00015848</t>
  </si>
  <si>
    <t>SB-00015847</t>
  </si>
  <si>
    <t>SB-00015846</t>
  </si>
  <si>
    <t>SB-00015845</t>
  </si>
  <si>
    <t>SB-00015844</t>
  </si>
  <si>
    <t>SB-00015843</t>
  </si>
  <si>
    <t>SB-00015842</t>
  </si>
  <si>
    <t>SB-00015841</t>
  </si>
  <si>
    <t>SB-00015840</t>
  </si>
  <si>
    <t>SB-00015839</t>
  </si>
  <si>
    <t>SB-00015838</t>
  </si>
  <si>
    <t>-60°/+75° С</t>
  </si>
  <si>
    <t>ИЮНЬ 2021</t>
  </si>
  <si>
    <t>1 - EXTREME - мощные прожекторы работающие при экстремальных температуах (-60 +75° С)
2 - Модернизированы светильники серии "ARM-G" и "ARM-IP54"</t>
  </si>
  <si>
    <t xml:space="preserve">Подвес за 1 точку. Трос в комплекте (1 метр). </t>
  </si>
  <si>
    <t>SVT-ARM-U-1200x180x40-28W-PR</t>
  </si>
  <si>
    <t>SVT-ARM-U-1200x180x40-38W-PR</t>
  </si>
  <si>
    <t>SB-00015866</t>
  </si>
  <si>
    <t>SB-00015867</t>
  </si>
  <si>
    <t>SB-00015868</t>
  </si>
  <si>
    <t>SB-00015869</t>
  </si>
  <si>
    <t>SB-00015870</t>
  </si>
  <si>
    <t>SB-00015871</t>
  </si>
  <si>
    <t>SB-00015872</t>
  </si>
  <si>
    <t>SB-00015873</t>
  </si>
  <si>
    <t>SB-00015874</t>
  </si>
  <si>
    <t>SVT-ARM-G-588x588x40-28W-PR</t>
  </si>
  <si>
    <t>SVT-ARM-G-588x588x40-38W-PR</t>
  </si>
  <si>
    <t xml:space="preserve">SVT-ARM-G-588x588x40-47W-PR </t>
  </si>
  <si>
    <t>588х588х40</t>
  </si>
  <si>
    <t>SB-00015936</t>
  </si>
  <si>
    <t>SB-00015937</t>
  </si>
  <si>
    <t>ИЮНЬ 2021 V2</t>
  </si>
  <si>
    <t>Произошло точечное изменение цен. Подробности у менеджеров отдела продаж.</t>
  </si>
  <si>
    <t>Samsung/Seoul COB</t>
  </si>
  <si>
    <t>-40°/+50° С</t>
  </si>
  <si>
    <t>SVT-STR-M-COB-60W-38</t>
  </si>
  <si>
    <t>SVT-STR-M-COB-60W-45</t>
  </si>
  <si>
    <t>SVT-STR-M-COB-60W-60</t>
  </si>
  <si>
    <t>SVT-STR-M-COB-60W-90</t>
  </si>
  <si>
    <t>SVT-STR-M-COB-60W-135x75</t>
  </si>
  <si>
    <t>SVT-STR-M-COB-60W-120</t>
  </si>
  <si>
    <t>SVT-STR-M-COB-120W-38</t>
  </si>
  <si>
    <t>SVT-STR-M-COB-120W-45</t>
  </si>
  <si>
    <t>SVT-STR-M-COB-120W-60</t>
  </si>
  <si>
    <t>SVT-STR-M-COB-120W-90</t>
  </si>
  <si>
    <t>SVT-STR-M-COB-120W-135x75</t>
  </si>
  <si>
    <t>SVT-STR-M-COB-120W-120</t>
  </si>
  <si>
    <t>SVT-STR-M-COB-180W-38</t>
  </si>
  <si>
    <t>SVT-STR-M-COB-180W-45</t>
  </si>
  <si>
    <t>SVT-STR-M-COB-180W-60</t>
  </si>
  <si>
    <t>SVT-STR-M-COB-180W-90</t>
  </si>
  <si>
    <t>SVT-STR-M-COB-180W-135x75</t>
  </si>
  <si>
    <t>SVT-STR-M-COB-180W-120</t>
  </si>
  <si>
    <t>SVT-STR-M-COB-120W-38-DUO</t>
  </si>
  <si>
    <t>SVT-STR-M-COB-120W-45-DUO</t>
  </si>
  <si>
    <t>SVT-STR-M-COB-120W-60-DUO</t>
  </si>
  <si>
    <t>SVT-STR-M-COB-120W-90-DUO</t>
  </si>
  <si>
    <t>SVT-STR-M-COB-120W-135x75-DUO</t>
  </si>
  <si>
    <t>SVT-STR-M-COB-120W-120-DUO</t>
  </si>
  <si>
    <t>ИЮЛЬ 2021</t>
  </si>
  <si>
    <t>SVT-STR-MPRO-Max-81W-20-DUO</t>
  </si>
  <si>
    <t>SVT-STR-MPRO-Max-81W-35-DUO</t>
  </si>
  <si>
    <t>SVT-STR-MPRO-Max-81W-65-DUO</t>
  </si>
  <si>
    <t>SVT-STR-MPRO-Max-81W-100-DUO</t>
  </si>
  <si>
    <t>SVT-STR-MPRO-Max-81W-30x120-DUO</t>
  </si>
  <si>
    <t>SVT-STR-MPRO-Max-81W-VSM-DUO</t>
  </si>
  <si>
    <t>SVT-STR-MPRO-Max-81W-45x140-DUO</t>
  </si>
  <si>
    <t>SVT-STR-MPRO-Max-81W-20-TRIO</t>
  </si>
  <si>
    <t>SVT-STR-MPRO-Max-81W-35-TRIO</t>
  </si>
  <si>
    <t>SVT-STR-MPRO-Max-81W-65-TRIO</t>
  </si>
  <si>
    <t>SVT-STR-MPRO-Max-81W-100-TRIO</t>
  </si>
  <si>
    <t>SVT-STR-MPRO-Max-81W-30x120-TRIO</t>
  </si>
  <si>
    <t>SVT-STR-MPRO-Max-81W-VSM-TRIO</t>
  </si>
  <si>
    <t>SVT-STR-MPRO-Max-81W-45x140-TRIO</t>
  </si>
  <si>
    <t>SVT-STR-MPRO-Max-81W-45x140-C-TRIO</t>
  </si>
  <si>
    <t>SVT-STR-MPRO-Max-81W-45x140-C-DUO</t>
  </si>
  <si>
    <t>SB-00016064</t>
  </si>
  <si>
    <t>SB-00016065</t>
  </si>
  <si>
    <t>SB-00016066</t>
  </si>
  <si>
    <t>SB-00016067</t>
  </si>
  <si>
    <t>SB-00016068</t>
  </si>
  <si>
    <t>SB-00016069</t>
  </si>
  <si>
    <t>SB-00016070</t>
  </si>
  <si>
    <t>SB-00016071</t>
  </si>
  <si>
    <t>SB-00016072</t>
  </si>
  <si>
    <t>SB-00016073</t>
  </si>
  <si>
    <t>SB-00016074</t>
  </si>
  <si>
    <t>SB-00016075</t>
  </si>
  <si>
    <t>SB-00016076</t>
  </si>
  <si>
    <t>SB-00016077</t>
  </si>
  <si>
    <t>SB-00016078</t>
  </si>
  <si>
    <t>SB-00016079</t>
  </si>
  <si>
    <t>SB-00016080</t>
  </si>
  <si>
    <t>SB-00016081</t>
  </si>
  <si>
    <t>SB-00016082</t>
  </si>
  <si>
    <t>SB-00016083</t>
  </si>
  <si>
    <t>SB-00016084</t>
  </si>
  <si>
    <t>SB-00016085</t>
  </si>
  <si>
    <t>SB-00016086</t>
  </si>
  <si>
    <t>SB-00016087</t>
  </si>
  <si>
    <t>Osram Duris S8 72шт</t>
  </si>
  <si>
    <t>536x320x134</t>
  </si>
  <si>
    <t>SVT-STR-M-COB-60W-135x75-C</t>
  </si>
  <si>
    <t>SVT-STR-M-COB-120W-135x75-C</t>
  </si>
  <si>
    <t>SVT-STR-M-COB-180W-135x75-C</t>
  </si>
  <si>
    <t>SVT-STR-M-COB-120W-135x75-DUO-C</t>
  </si>
  <si>
    <t>536x265x90</t>
  </si>
  <si>
    <t>265x150x143</t>
  </si>
  <si>
    <t>515x150x143</t>
  </si>
  <si>
    <t>765x150x143</t>
  </si>
  <si>
    <t>515x310x140</t>
  </si>
  <si>
    <t>SB-00016110</t>
  </si>
  <si>
    <t>SB-00016111</t>
  </si>
  <si>
    <t>SB-00016112</t>
  </si>
  <si>
    <t>SB-00016113</t>
  </si>
  <si>
    <t>SB-00016114</t>
  </si>
  <si>
    <t>SB-00016115</t>
  </si>
  <si>
    <t>SB-00016116</t>
  </si>
  <si>
    <t>SB-00016117</t>
  </si>
  <si>
    <t>SB-00016118</t>
  </si>
  <si>
    <t>SB-00016119</t>
  </si>
  <si>
    <t>SB-00016120</t>
  </si>
  <si>
    <t>SB-00016121</t>
  </si>
  <si>
    <t>SB-00016122</t>
  </si>
  <si>
    <t>SB-00016123</t>
  </si>
  <si>
    <t>SB-00016124</t>
  </si>
  <si>
    <t>SB-00016125</t>
  </si>
  <si>
    <t>1 - Снят с производства светильник серии COB
Ввод в ассортимент:
2- M-COB Мощностью 60 / 120 / 180 / 240 Вт (КСС: 38, 45, 60, 90, 120, 135x75 град.);
3 - Модуль PRO-MAX 81 Вт DUO и TRIO версия</t>
  </si>
  <si>
    <t>265x150x190</t>
  </si>
  <si>
    <t>514x150x190</t>
  </si>
  <si>
    <t>764x150x190</t>
  </si>
  <si>
    <t>514x305x277</t>
  </si>
  <si>
    <t>BLACKBOARD</t>
  </si>
  <si>
    <t>Накладное на Г - образные кронштейны</t>
  </si>
  <si>
    <t>SVT-ARM-U-595x595x40-28W-PR-SK</t>
  </si>
  <si>
    <t>SVT-ARM-U-595x595x40-38W-PR-SK</t>
  </si>
  <si>
    <t>SVT-ARM-U-595x595x40-47W-PR-SK</t>
  </si>
  <si>
    <t>SVT-ARM-U-AIR-595x595x34-29W-PR-InBat-IP54-SK</t>
  </si>
  <si>
    <t>SVT-ARM-U-AIR-1195x200x34-29W-IP54-PR-InBat-SK</t>
  </si>
  <si>
    <t>SVT-ARM-U-595x595x40-30W-PR-inBAT-2h-SK</t>
  </si>
  <si>
    <t>SVT-OFF-DL-30W-4000K-SK</t>
  </si>
  <si>
    <t>SVT-OFF-EM-6W-1h-SK (Без пиктограммы)</t>
  </si>
  <si>
    <t>АВГУСТ 2021</t>
  </si>
  <si>
    <t>1200x180x40</t>
  </si>
  <si>
    <t>SVT-STR-BLACKBOARD-15W-SK</t>
  </si>
  <si>
    <t>58mA</t>
  </si>
  <si>
    <t>SB-00016321</t>
  </si>
  <si>
    <t>SB-00016311</t>
  </si>
  <si>
    <t>SB-00016312</t>
  </si>
  <si>
    <t>SB-00016313</t>
  </si>
  <si>
    <t>SB-00016314</t>
  </si>
  <si>
    <t>SB-00016315</t>
  </si>
  <si>
    <t>SB-00016316</t>
  </si>
  <si>
    <t>SB-00016317</t>
  </si>
  <si>
    <t>SB-00016319</t>
  </si>
  <si>
    <t>Ввод в ассортимент:
1- LED светильник для школьных досок SVT-STR-BLACKBOARD мощностью 15 Вт, габаитные размеры - 1200x180x40 мм
2 - Произошло повышение цен на следующие позиции:
SVT-ARM-U-AIR-1195x200x34-29W-IP54-PR;
SVT-ARM-U-AIR-1195x200x34-29W-IP54-PR-4000K-SC;
SVT-ARM-U-AIR-1195x200x34-29W-IP54-PR-InBat;
SVT-ARM-U-AIR-595x595x34-27W-IP54-PR (ultra);
SVT-ARM-U-AIR-595x595x34-29W-IP54-PR;
SVT-ARM-U-AIR-595x595x34-29W-IP54-PR-4000K-SC;
SVT-ARM-U-AIR-595x595x34-29W-PR-DALI-IP54;
SVT-ARM-U-AIR-595x595x34-29W-PR-Dimm-IP54;
SVT-ARM-U-AIR-595x595x34-29W-PR-InBat-IP54;
SVT-ARM-U-AIR-595x595x34-34W-IP54-PR;
SVT-Med-BH-29W/10W-up/down-4000K;
SVT-P-I-v2-600-24W-IP65-M;
SVT-P-I-v2-1200-36W-IP65-M;
SVT-P-I-1280-30W-M;
SVT-P-I-1280-30W-M-inBAT-2h;
SVT-P-I-1280-30W-T;
SVT-P-I-1280-30W-T-inBAT-2h;
SVT-P-I-1280-40W-M;
SVT-P-I-1280-40W-T;
SVT-P-I-1280-50W-M;
SVT-P-I-1280-50W-T;
SVT-P-I-1280-65W-M;
SVT-P-I-1280-65W-T.</t>
  </si>
  <si>
    <t>DKU-CITY</t>
  </si>
  <si>
    <t>SVT-STR-DKU-CITY-80-157X57</t>
  </si>
  <si>
    <t>SVT-STR-DKU-CITY-120-157X57</t>
  </si>
  <si>
    <t>ШБ, 157x57</t>
  </si>
  <si>
    <t>Литой алюминиевый корпус с порошковой окраской сегого цвета</t>
  </si>
  <si>
    <t>Регулируемая консоль на трубу до 60мм</t>
  </si>
  <si>
    <t>577х232х103</t>
  </si>
  <si>
    <t xml:space="preserve">ПММА LEDiL + силикатное прозрачное стекло 3мм </t>
  </si>
  <si>
    <t>627x272x103</t>
  </si>
  <si>
    <t>SB-00015277</t>
  </si>
  <si>
    <t>SB-00015274</t>
  </si>
  <si>
    <t>SB-00004721</t>
  </si>
  <si>
    <t>SVT-ZKH-SM-25W-IP65</t>
  </si>
  <si>
    <t>223x70</t>
  </si>
  <si>
    <t>Samsung х50шт</t>
  </si>
  <si>
    <t>SMD 2835</t>
  </si>
  <si>
    <t>СЕНТЯБРЬ 2021</t>
  </si>
  <si>
    <t>Ввод в ассортимент:
1- LED светильник для ЖКХ 25 Вт
2 - Взрывозащищенный LED светильник (2EX) 27 / 40 / 53 Вт, с дополнительной оптикой - К, 25 и  Г, 45.
Повышение цен на 5% на все "модульные" позиции.</t>
  </si>
  <si>
    <t>SVT-STR-BM-45W-60</t>
  </si>
  <si>
    <t>SVT-STR-BM-45W-45x140</t>
  </si>
  <si>
    <t>SVT-STR-BM-45W-30</t>
  </si>
  <si>
    <t>262 мА</t>
  </si>
  <si>
    <t>304x108x192</t>
  </si>
  <si>
    <t>SB-00016573</t>
  </si>
  <si>
    <t>SB-00016572</t>
  </si>
  <si>
    <t>SB-00016574</t>
  </si>
  <si>
    <t>ZL</t>
  </si>
  <si>
    <t>SVT-STR-ZL-10W-IP54</t>
  </si>
  <si>
    <t>SVT-STR-ZL-14W-IP54</t>
  </si>
  <si>
    <t>SVT-STR-ZL-18W-IP54</t>
  </si>
  <si>
    <t>SVT-STR-ZL-20W-IP54</t>
  </si>
  <si>
    <t>SAMSUNG</t>
  </si>
  <si>
    <t>Прозрачное силикатное стекло</t>
  </si>
  <si>
    <t>Подвесное</t>
  </si>
  <si>
    <t>155x195</t>
  </si>
  <si>
    <t>Сталь с порошковой окраской</t>
  </si>
  <si>
    <t>Arlight/Helvar</t>
  </si>
  <si>
    <t>63мА</t>
  </si>
  <si>
    <t>88мА</t>
  </si>
  <si>
    <t>113мА</t>
  </si>
  <si>
    <t>125мА</t>
  </si>
  <si>
    <t>СЕНТЯБРЬ 2021.V2</t>
  </si>
  <si>
    <t>Ввод в ассортимент:
1- LED светильник серии "Кассета" на 45 Вт (эффективность 162 м/Вт), КСС: ШБ, 45x140 / К, 30 / Г, 60
2 - LED светильник серии "Желудь" на 10, 14, 18, 20 Вт (эффективность до 130 лм/Вт), КСС: М, 180.</t>
  </si>
  <si>
    <t>SB-00016618</t>
  </si>
  <si>
    <t>SB-00016619</t>
  </si>
  <si>
    <t>SB-00016620</t>
  </si>
  <si>
    <t>SB-00016621</t>
  </si>
  <si>
    <t>SVT-ARH-Fort-300-12W-8</t>
  </si>
  <si>
    <t>К, 8</t>
  </si>
  <si>
    <t>SVT-ARH-Fort-600-25W-8</t>
  </si>
  <si>
    <t>SVT-ARH-Fort-900-38W-8</t>
  </si>
  <si>
    <t>SVT-ARH-Fort-1200-52W-8</t>
  </si>
  <si>
    <t>SVT-ARH-Fort-1500-65W-8</t>
  </si>
  <si>
    <t>ОКТЯБРЬ 2021</t>
  </si>
  <si>
    <t>SB-00016716</t>
  </si>
  <si>
    <t>SB-00016718</t>
  </si>
  <si>
    <t>SB-00016719</t>
  </si>
  <si>
    <t>SB-00016720</t>
  </si>
  <si>
    <t>SB-00016721</t>
  </si>
  <si>
    <t>SVT-ZKH-SS-10W-IP65</t>
  </si>
  <si>
    <t>Samsung х20шт</t>
  </si>
  <si>
    <t>Samsung х30шт</t>
  </si>
  <si>
    <t>SVT-ZKH-L-18W-IP65</t>
  </si>
  <si>
    <t>SB-00004724</t>
  </si>
  <si>
    <t>SB-00004722</t>
  </si>
  <si>
    <t>SVT-ARH-Fort-300-12W-15</t>
  </si>
  <si>
    <t>SVT-ARH-Fort-300-12W-25</t>
  </si>
  <si>
    <t>SVT-ARH-Fort-300-12W-45</t>
  </si>
  <si>
    <t>Samsung LH351B 6шт</t>
  </si>
  <si>
    <t>SB-00016777</t>
  </si>
  <si>
    <t>SB-00016778</t>
  </si>
  <si>
    <t>SB-00016779</t>
  </si>
  <si>
    <t>SB-00016780</t>
  </si>
  <si>
    <t>SB-00016781</t>
  </si>
  <si>
    <t>SB-00016773</t>
  </si>
  <si>
    <t>SB-00016774</t>
  </si>
  <si>
    <t>SB-00016775</t>
  </si>
  <si>
    <t>SB-00016776</t>
  </si>
  <si>
    <t>SB-00016784</t>
  </si>
  <si>
    <t>SVT-STR-BM-30W-90</t>
  </si>
  <si>
    <t>SVT-STR-BM-45W-90</t>
  </si>
  <si>
    <t>SB-00016785</t>
  </si>
  <si>
    <t>SVT-STR-BM-60W-90</t>
  </si>
  <si>
    <t>SB-00016787</t>
  </si>
  <si>
    <t>SVT-STR-BM-90W-90</t>
  </si>
  <si>
    <t>SB-00016788</t>
  </si>
  <si>
    <t>SVT-STR-BM-60W-90-DUO</t>
  </si>
  <si>
    <t>SB-00016789</t>
  </si>
  <si>
    <t>SVT-STR-BM-45W-30-TRIO</t>
  </si>
  <si>
    <t>SB-00016790</t>
  </si>
  <si>
    <t>SVT-STR-BM-45W-60-TRIO</t>
  </si>
  <si>
    <t>SB-00016791</t>
  </si>
  <si>
    <t>SVT-STR-BM-45W-90-TRIO</t>
  </si>
  <si>
    <t>SB-00016792</t>
  </si>
  <si>
    <t>SVT-STR-BM-45W-45x140-TRIO</t>
  </si>
  <si>
    <t>SB-00016793</t>
  </si>
  <si>
    <t>SVT-STR-BM-60W-30-TRIO</t>
  </si>
  <si>
    <t>SB-00016794</t>
  </si>
  <si>
    <t>SVT-STR-BM-60W-60-TRIO</t>
  </si>
  <si>
    <t>SB-00016795</t>
  </si>
  <si>
    <t>SVT-STR-BM-60W-90-TRIO</t>
  </si>
  <si>
    <t>SB-00016796</t>
  </si>
  <si>
    <t>SVT-STR-BM-60W-45x140-TRIO</t>
  </si>
  <si>
    <t>SB-00016797</t>
  </si>
  <si>
    <t>SVT-ARH-Fort-150-6W-8</t>
  </si>
  <si>
    <t>SVT-ARH-Fort-150-6W-15</t>
  </si>
  <si>
    <t>SVT-ARH-Fort-150-6W-25</t>
  </si>
  <si>
    <t>SVT-ARH-Fort-150-6W-45</t>
  </si>
  <si>
    <t>SVT-ARH-Fort-150-6W-10x60</t>
  </si>
  <si>
    <t>217x135x60</t>
  </si>
  <si>
    <t>147x57</t>
  </si>
  <si>
    <t>326x348x260</t>
  </si>
  <si>
    <t>402x348x260</t>
  </si>
  <si>
    <t>152х70х65</t>
  </si>
  <si>
    <r>
      <rPr>
        <b/>
        <sz val="14"/>
        <color theme="1"/>
        <rFont val="Calibri"/>
        <family val="2"/>
        <charset val="204"/>
        <scheme val="minor"/>
      </rPr>
      <t>Улучшены светотехнические показатели в светильниках серии "MPRO". Замеры светового потока проводились в лаборатории ВНИСИ!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b/>
        <sz val="14"/>
        <color theme="4" tint="-0.249977111117893"/>
        <rFont val="Calibri"/>
        <family val="2"/>
        <charset val="204"/>
        <scheme val="minor"/>
      </rPr>
      <t>Энергоэффективность составляет  160 - 167 лм/Вт.
MPRO - Выбор профессионалов.</t>
    </r>
    <r>
      <rPr>
        <sz val="14"/>
        <color theme="1"/>
        <rFont val="Calibri"/>
        <family val="2"/>
        <charset val="204"/>
        <scheme val="minor"/>
      </rPr>
      <t xml:space="preserve">
Ввод в ассортимент:
</t>
    </r>
    <r>
      <rPr>
        <b/>
        <sz val="14"/>
        <color theme="1"/>
        <rFont val="Calibri"/>
        <family val="2"/>
        <charset val="204"/>
        <scheme val="minor"/>
      </rPr>
      <t>1-</t>
    </r>
    <r>
      <rPr>
        <sz val="14"/>
        <color theme="1"/>
        <rFont val="Calibri"/>
        <family val="2"/>
        <charset val="204"/>
        <scheme val="minor"/>
      </rPr>
      <t xml:space="preserve"> LED светильник серии "Форт архитектурный" 150 - 1500 мм с концентрированной КСС - 8 грд:
- SVT-ARH-Fort-150-6W-8
- SVT-ARH-Fort-300-12W-8;
- SVT-ARH-Fort-600-25W-8;
- SVT-ARH-Fort-900-38W-8;
- SVT-ARH-Fort-1200-52W-8;
- SVT-ARH-Fort-1500-65W-8.
LED светильник серии "Форт архитектурный" 150 мм и 300 мм с КСС 15, 25, 45, 10x60 грд:
SVT-ARH-Fort-150-6W-15;
SVT-ARH-Fort-150-6W-25;
SVT-ARH-Fort-150-6W-45;
SVT-ARH-Fort-150-6W-10x60;
SVT-ARH-Fort-300-12W-15;
SVT-ARH-Fort-300-12W-25;
SVT-ARH-Fort-300-12W-45;
SVT-ARH-Fort-300-12W-8-10x60.
</t>
    </r>
    <r>
      <rPr>
        <b/>
        <sz val="14"/>
        <color theme="1"/>
        <rFont val="Calibri"/>
        <family val="2"/>
        <charset val="204"/>
        <scheme val="minor"/>
      </rPr>
      <t>2 -</t>
    </r>
    <r>
      <rPr>
        <sz val="14"/>
        <color theme="1"/>
        <rFont val="Calibri"/>
        <family val="2"/>
        <charset val="204"/>
        <scheme val="minor"/>
      </rPr>
      <t xml:space="preserve"> LED светильник серии "Кассета": 
на 45 Вт TRIO и 60 Вт TRIO, КСС: ШБ, 45x140 / К, 30 / Г, 60 / Г, 90.
</t>
    </r>
    <r>
      <rPr>
        <b/>
        <sz val="14"/>
        <color theme="1"/>
        <rFont val="Calibri"/>
        <family val="2"/>
        <charset val="204"/>
        <scheme val="minor"/>
      </rPr>
      <t>3 -</t>
    </r>
    <r>
      <rPr>
        <sz val="14"/>
        <color theme="1"/>
        <rFont val="Calibri"/>
        <family val="2"/>
        <charset val="204"/>
        <scheme val="minor"/>
      </rPr>
      <t xml:space="preserve"> LED светильник серии "Желудь" на 10 / 14 / 18 / 20 Вт (эффективность 130 м/Вт); КСС: М, 180; IP54.
</t>
    </r>
    <r>
      <rPr>
        <b/>
        <sz val="14"/>
        <color theme="1"/>
        <rFont val="Calibri"/>
        <family val="2"/>
        <charset val="204"/>
        <scheme val="minor"/>
      </rPr>
      <t>4 -</t>
    </r>
    <r>
      <rPr>
        <sz val="14"/>
        <color theme="1"/>
        <rFont val="Calibri"/>
        <family val="2"/>
        <charset val="204"/>
        <scheme val="minor"/>
      </rPr>
      <t xml:space="preserve"> LED светильник серии "ЖКХ" на 10 / 18 Вт:
- SVT-ZKH-SS-10W-IP65;
- SVT-ZKH-L-18W-IP65.
</t>
    </r>
    <r>
      <rPr>
        <b/>
        <sz val="14"/>
        <color theme="1"/>
        <rFont val="Calibri"/>
        <family val="2"/>
        <charset val="204"/>
        <scheme val="minor"/>
      </rPr>
      <t>5 -</t>
    </r>
    <r>
      <rPr>
        <sz val="14"/>
        <color theme="1"/>
        <rFont val="Calibri"/>
        <family val="2"/>
        <charset val="204"/>
        <scheme val="minor"/>
      </rPr>
      <t xml:space="preserve"> Сняты с производства светильник серии "ЖКХ":
- SVT-ZKH-8W-M-KRUG-IP65-4000K;
- SVT-ZKH-8W-M-OVAL-IP65-4000K;
- SVT-ZKH-12W-M-OVAL-IP65-4000K;
- SVT-ZKH-12W-M-OVAL-IP65-SENSOR-4000K.</t>
    </r>
  </si>
  <si>
    <t>ARH-CUBE</t>
  </si>
  <si>
    <t>SVT-ARH-CUBE-13W-8</t>
  </si>
  <si>
    <t>SVT-ARH-CUBE-13W-15</t>
  </si>
  <si>
    <t>SVT-ARH-CUBE-13W-25</t>
  </si>
  <si>
    <t>SVT-ARH-CUBE-13W-45</t>
  </si>
  <si>
    <t>SVT-ARH-CUBE-25W-8</t>
  </si>
  <si>
    <t>SVT-ARH-CUBE-25W-15</t>
  </si>
  <si>
    <t>SVT-ARH-CUBE-25W-25</t>
  </si>
  <si>
    <t>SVT-ARH-CUBE-25W-45</t>
  </si>
  <si>
    <t>SVT-ARH-CUBE-40W-8</t>
  </si>
  <si>
    <t>SVT-ARH-CUBE-40W-15</t>
  </si>
  <si>
    <t>SVT-ARH-CUBE-40W-25</t>
  </si>
  <si>
    <t>SVT-ARH-CUBE-40W-45</t>
  </si>
  <si>
    <t>Аргос / Трион</t>
  </si>
  <si>
    <t>174x150x86</t>
  </si>
  <si>
    <t>SB-00016931</t>
  </si>
  <si>
    <t>SB-00016932</t>
  </si>
  <si>
    <t>SB-00016933</t>
  </si>
  <si>
    <t>SB-00016934</t>
  </si>
  <si>
    <t>SB-00016935</t>
  </si>
  <si>
    <t>SB-00016936</t>
  </si>
  <si>
    <t>SB-00016937</t>
  </si>
  <si>
    <t>SB-00016938</t>
  </si>
  <si>
    <t>SB-00016939</t>
  </si>
  <si>
    <t>SB-00016940</t>
  </si>
  <si>
    <t>SB-00016941</t>
  </si>
  <si>
    <t>SB-00016942</t>
  </si>
  <si>
    <t>НОЯБРЬ 2021</t>
  </si>
  <si>
    <r>
      <t xml:space="preserve">Ввод в ассортимент:
</t>
    </r>
    <r>
      <rPr>
        <b/>
        <sz val="14"/>
        <color theme="1"/>
        <rFont val="Calibri"/>
        <family val="2"/>
        <charset val="204"/>
        <scheme val="minor"/>
      </rPr>
      <t>1-</t>
    </r>
    <r>
      <rPr>
        <sz val="14"/>
        <color theme="1"/>
        <rFont val="Calibri"/>
        <family val="2"/>
        <charset val="204"/>
        <scheme val="minor"/>
      </rPr>
      <t xml:space="preserve"> Архитектурный светильник сери "ARH-CUBE" Мощностью 13 / 25 / 40 Вт (КСС: 8; 15; 25; 45 град.);
</t>
    </r>
    <r>
      <rPr>
        <b/>
        <sz val="14"/>
        <color theme="1"/>
        <rFont val="Calibri"/>
        <family val="2"/>
        <charset val="204"/>
        <scheme val="minor"/>
      </rPr>
      <t>2 -</t>
    </r>
    <r>
      <rPr>
        <sz val="14"/>
        <color theme="1"/>
        <rFont val="Calibri"/>
        <family val="2"/>
        <charset val="204"/>
        <scheme val="minor"/>
      </rPr>
      <t xml:space="preserve"> Архитектурный светодиодный светильник двухлучевой серии "ARH-CUBE-DS" на поворотном кронштейне (регулировка на 360°), доступные КСС: 15; 30; 40°,  Общая мощность светильника 26 Вт (по 13 Вт на сторону)</t>
    </r>
  </si>
  <si>
    <t>CREE/Samsung 12шт</t>
  </si>
  <si>
    <t>CREE/Samsung 24шт</t>
  </si>
  <si>
    <t>CREE/Samsung 36шт</t>
  </si>
  <si>
    <t>CREE/Samsung 48шт</t>
  </si>
  <si>
    <t>CREE/Samsung 2*36шт</t>
  </si>
  <si>
    <t>CREE/Samsung 2*48шт</t>
  </si>
  <si>
    <t>CREE/Samsung 3*36шт</t>
  </si>
  <si>
    <t>CREE/Samsung 3*48шт</t>
  </si>
  <si>
    <t>CREE/Samsung 4*48шт</t>
  </si>
  <si>
    <t>CREE/Samsung 4*36шт</t>
  </si>
  <si>
    <t>SVT-ARH-Fort-300-12W-10x60</t>
  </si>
  <si>
    <t>Цветовая темпратура 4000К без удорожания. При 3000/4000К CRI80 - световой поток снижается на 7-15%. Подробности у менеджеров.</t>
  </si>
  <si>
    <t>ДЕКАБРЬ 2021</t>
  </si>
  <si>
    <r>
      <rPr>
        <b/>
        <sz val="14"/>
        <color theme="1"/>
        <rFont val="Calibri"/>
        <family val="2"/>
        <charset val="204"/>
        <scheme val="minor"/>
      </rPr>
      <t>1 - Улучшены светотехнические показатели в светильниках серии "MPRO" с оптикой. Замеры светового потока проводились в аккредитованной лаборатории ПромМашТест!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b/>
        <sz val="14"/>
        <color theme="4" tint="-0.249977111117893"/>
        <rFont val="Calibri"/>
        <family val="2"/>
        <charset val="204"/>
        <scheme val="minor"/>
      </rPr>
      <t xml:space="preserve">Энергоэффективность составляет  162 - 174 лм/Вт.
</t>
    </r>
    <r>
      <rPr>
        <sz val="14"/>
        <rFont val="Calibri"/>
        <family val="2"/>
        <charset val="204"/>
        <scheme val="minor"/>
      </rPr>
      <t>2 - Повышение цен до 15%</t>
    </r>
  </si>
  <si>
    <t>SB-00016243</t>
  </si>
  <si>
    <t>SB-00016244</t>
  </si>
  <si>
    <t>SB-00016245</t>
  </si>
  <si>
    <t>SB-00016246</t>
  </si>
  <si>
    <t>SVT-STR-M-50W</t>
  </si>
  <si>
    <t>SVT-STR-M-50W (с защитой от 380)</t>
  </si>
  <si>
    <t>SVT-STR-M-50W-C</t>
  </si>
  <si>
    <t>SVT-STR-M-50W-C (с защитой от 380)</t>
  </si>
  <si>
    <t>SVT-STR-M-50W-DUO</t>
  </si>
  <si>
    <t>SVT-STR-M-50W-DUO-C</t>
  </si>
  <si>
    <t>SVT-STR-M-50W-DUO90</t>
  </si>
  <si>
    <t>SVT-STR-M-50W-DUO90-C</t>
  </si>
  <si>
    <t>SVT-STR-M-50W-TRIO</t>
  </si>
  <si>
    <t>SVT-STR-M-50W-TRIO-C</t>
  </si>
  <si>
    <t>SVT-STR-M-50W-TRIO90</t>
  </si>
  <si>
    <t>SVT-STR-M-50W-TRIO90-C</t>
  </si>
  <si>
    <t>SVT-STR-M-50W-DUO (с защитой от 380)</t>
  </si>
  <si>
    <t>SVT-STR-M-50W-DUO-C (с защитой от 380)</t>
  </si>
  <si>
    <t>SVT-STR-M-50W-DUO90 (с защитой от 380)</t>
  </si>
  <si>
    <t>SVT-STR-M-50W-DUO90-C (с защитой от 380)</t>
  </si>
  <si>
    <t>SVT-STR-M-50W-TRIO (с защитой от 380)</t>
  </si>
  <si>
    <t>SVT-STR-M-50W-TRIO-C (с защитой от 380)</t>
  </si>
  <si>
    <t>SVT-STR-M-50W-TRIO90 (с защитой от 380)</t>
  </si>
  <si>
    <t>SVT-STR-M-50W-TRIO90-C (с защитой от 380)</t>
  </si>
  <si>
    <t>SB-00017227</t>
  </si>
  <si>
    <t>SB-00017253</t>
  </si>
  <si>
    <t>SB-00017228</t>
  </si>
  <si>
    <t>SB-00017254</t>
  </si>
  <si>
    <t>SB-00017255</t>
  </si>
  <si>
    <t>SB-00017256</t>
  </si>
  <si>
    <t>SB-00017257</t>
  </si>
  <si>
    <t>SB-00017258</t>
  </si>
  <si>
    <t>SB-00017259</t>
  </si>
  <si>
    <t>SB-00017261</t>
  </si>
  <si>
    <t>SB-00017262</t>
  </si>
  <si>
    <t>SB-00017263</t>
  </si>
  <si>
    <t>SB-00017264</t>
  </si>
  <si>
    <t>SB-00017266</t>
  </si>
  <si>
    <t>SB-00017267</t>
  </si>
  <si>
    <t>SB-00017268</t>
  </si>
  <si>
    <t>SB-00017269</t>
  </si>
  <si>
    <t>SB-00017270</t>
  </si>
  <si>
    <t>SB-00017271</t>
  </si>
  <si>
    <t>SB-00017272</t>
  </si>
  <si>
    <t>Длина волны УФ лампы</t>
  </si>
  <si>
    <t>SB-00008888</t>
  </si>
  <si>
    <t>SB-00017304</t>
  </si>
  <si>
    <t>SB-00009318</t>
  </si>
  <si>
    <t>SB-00017305</t>
  </si>
  <si>
    <t>SB-00017306</t>
  </si>
  <si>
    <t>SVT-ARM-U-595x595x40-36W-PR</t>
  </si>
  <si>
    <t>SVT-ARM-U-595x595x40-36W-M</t>
  </si>
  <si>
    <t>SVT-ARM-U-1200x180x40-36W-PR</t>
  </si>
  <si>
    <t>SVT-ARM-U-1200x180x40-36W-M</t>
  </si>
  <si>
    <t>Lumileds 64шт</t>
  </si>
  <si>
    <t>SVT-P-I-1200-36W-M</t>
  </si>
  <si>
    <t>Модуль CRI80</t>
  </si>
  <si>
    <t>SVT-STR-M-CRI80-27W-30</t>
  </si>
  <si>
    <t>SVT-STR-M-CRI80-27W-60</t>
  </si>
  <si>
    <t>SVT-STR-M-CRI80-27W-90</t>
  </si>
  <si>
    <t>SVT-STR-M-CRI80-27W-VSM</t>
  </si>
  <si>
    <t>SVT-STR-M-CRI80-27W-157x90</t>
  </si>
  <si>
    <t>SVT-STR-M-CRI80-27W-157x90-C</t>
  </si>
  <si>
    <t>SVT-STR-M-CRI80-55W-30</t>
  </si>
  <si>
    <t>SVT-STR-M-CRI80-55W-60</t>
  </si>
  <si>
    <t>SVT-STR-M-CRI80-55W-90</t>
  </si>
  <si>
    <t>SVT-STR-M-CRI80-55W-VSM</t>
  </si>
  <si>
    <t>SVT-STR-M-CRI80-55W-157x90</t>
  </si>
  <si>
    <t>SVT-STR-M-CRI80-55W-157x90-C</t>
  </si>
  <si>
    <t>SVT-STR-M-CRI80-81W-30</t>
  </si>
  <si>
    <t>SVT-STR-M-CRI80-81W-60</t>
  </si>
  <si>
    <t>SVT-STR-M-CRI80-81W-90</t>
  </si>
  <si>
    <t>SVT-STR-M-CRI80-81W-VSM</t>
  </si>
  <si>
    <t>SVT-STR-M-CRI80-81W-157x90</t>
  </si>
  <si>
    <t>SVT-STR-M-CRI80-81W-157x90-C</t>
  </si>
  <si>
    <t>SVT-STR-M-CRI80-27W-30 (с защитой от 380)</t>
  </si>
  <si>
    <t>SVT-STR-M-CRI80-27W-60 (с защитой от 380)</t>
  </si>
  <si>
    <t>SVT-STR-M-CRI80-27W-90 (с защитой от 380)</t>
  </si>
  <si>
    <t>SVT-STR-M-CRI80-27W-VSM (с защитой от 380)</t>
  </si>
  <si>
    <t>SVT-STR-M-CRI80-27W-157x90 (с защитой от 380)</t>
  </si>
  <si>
    <t>SVT-STR-M-CRI80-27W-157x90-C (с защитой от 380)</t>
  </si>
  <si>
    <t>SVT-STR-M-CRI80-55W-30 (с защитой от 380)</t>
  </si>
  <si>
    <t>SVT-STR-M-CRI80-55W-60 (с защитой от 380)</t>
  </si>
  <si>
    <t>SVT-STR-M-CRI80-55W-90 (с защитой от 380)</t>
  </si>
  <si>
    <t>SVT-STR-M-CRI80-55W-VSM (с защитой от 380)</t>
  </si>
  <si>
    <t>SVT-STR-M-CRI80-55W-157x90 (с защитой от 380)</t>
  </si>
  <si>
    <t>SVT-STR-M-CRI80-55W-157x90-C (с защитой от 380)</t>
  </si>
  <si>
    <t>SB-00017318</t>
  </si>
  <si>
    <t>SB-00017319</t>
  </si>
  <si>
    <t>SB-00017320</t>
  </si>
  <si>
    <t>SB-00017321</t>
  </si>
  <si>
    <t>SB-00017322</t>
  </si>
  <si>
    <t>SB-00017323</t>
  </si>
  <si>
    <t>SB-00017324</t>
  </si>
  <si>
    <t>SB-00017325</t>
  </si>
  <si>
    <t>SB-00017326</t>
  </si>
  <si>
    <t>SB-00017327</t>
  </si>
  <si>
    <t>SB-00017328</t>
  </si>
  <si>
    <t>SB-00017329</t>
  </si>
  <si>
    <t>SB-00017330</t>
  </si>
  <si>
    <t>SB-00017331</t>
  </si>
  <si>
    <t>SB-00017332</t>
  </si>
  <si>
    <t>SB-00017333</t>
  </si>
  <si>
    <t>SB-00017334</t>
  </si>
  <si>
    <t>SB-00017335</t>
  </si>
  <si>
    <t>SB-00017336</t>
  </si>
  <si>
    <t>SB-00017337</t>
  </si>
  <si>
    <t>SB-00017338</t>
  </si>
  <si>
    <t>SB-00017339</t>
  </si>
  <si>
    <t>SB-00017340</t>
  </si>
  <si>
    <t>SB-00017341</t>
  </si>
  <si>
    <t>SB-00017342</t>
  </si>
  <si>
    <t>SB-00017343</t>
  </si>
  <si>
    <t>SB-00017344</t>
  </si>
  <si>
    <t>SB-00017345</t>
  </si>
  <si>
    <t>SB-00017346</t>
  </si>
  <si>
    <t>SB-00017347</t>
  </si>
  <si>
    <t>ШБ, 157x90</t>
  </si>
  <si>
    <t>ПММА</t>
  </si>
  <si>
    <t>Samsung 36шт</t>
  </si>
  <si>
    <t>Аргос с защитой от 380 В</t>
  </si>
  <si>
    <t>Samsung 72шт</t>
  </si>
  <si>
    <t>Samsung 108шт</t>
  </si>
  <si>
    <t>* по запросу доступны DUO/TRIO/QUATTRO/PENTA версии</t>
  </si>
  <si>
    <t>ДЕКАБРЬ 2021.V2</t>
  </si>
  <si>
    <t>Модуль CRI80 с оптикой</t>
  </si>
  <si>
    <r>
      <rPr>
        <b/>
        <sz val="14"/>
        <color theme="1"/>
        <rFont val="Calibri"/>
        <family val="2"/>
        <charset val="204"/>
        <scheme val="minor"/>
      </rPr>
      <t>Ввод в ассортимент:
1 -</t>
    </r>
    <r>
      <rPr>
        <sz val="14"/>
        <color theme="1"/>
        <rFont val="Calibri"/>
        <family val="2"/>
        <charset val="204"/>
        <scheme val="minor"/>
      </rPr>
      <t xml:space="preserve"> Новая серия "модуль с оптикой" CRI80 с оптимальной ценой и сбалансированными техническими характеристиками:
</t>
    </r>
    <r>
      <rPr>
        <sz val="14"/>
        <color rgb="FF0070C0"/>
        <rFont val="Calibri"/>
        <family val="2"/>
        <charset val="204"/>
        <scheme val="minor"/>
      </rPr>
      <t xml:space="preserve">Мощность: </t>
    </r>
    <r>
      <rPr>
        <sz val="14"/>
        <color theme="1"/>
        <rFont val="Calibri"/>
        <family val="2"/>
        <charset val="204"/>
        <scheme val="minor"/>
      </rPr>
      <t xml:space="preserve">от 27 до 81 Вт в "mono" корпусе (* по запросу доступны DUO/TRIO/QUATTRO/PENTA версии);
</t>
    </r>
    <r>
      <rPr>
        <sz val="14"/>
        <color rgb="FF0070C0"/>
        <rFont val="Calibri"/>
        <family val="2"/>
        <charset val="204"/>
        <scheme val="minor"/>
      </rPr>
      <t>КСС:</t>
    </r>
    <r>
      <rPr>
        <sz val="14"/>
        <color theme="1"/>
        <rFont val="Calibri"/>
        <family val="2"/>
        <charset val="204"/>
        <scheme val="minor"/>
      </rPr>
      <t xml:space="preserve"> К, 30 / Г, 60 / Д, 90 / Ш, 150 / ШБ, 157x90;
</t>
    </r>
    <r>
      <rPr>
        <sz val="14"/>
        <color rgb="FF0070C0"/>
        <rFont val="Calibri"/>
        <family val="2"/>
        <charset val="204"/>
        <scheme val="minor"/>
      </rPr>
      <t xml:space="preserve">Энергоэффективность: </t>
    </r>
    <r>
      <rPr>
        <sz val="14"/>
        <color theme="1"/>
        <rFont val="Calibri"/>
        <family val="2"/>
        <charset val="204"/>
        <scheme val="minor"/>
      </rPr>
      <t xml:space="preserve">120 лм/Вт;
</t>
    </r>
    <r>
      <rPr>
        <sz val="14"/>
        <color rgb="FF0070C0"/>
        <rFont val="Calibri"/>
        <family val="2"/>
        <charset val="204"/>
        <scheme val="minor"/>
      </rPr>
      <t xml:space="preserve">Блок питания: </t>
    </r>
    <r>
      <rPr>
        <sz val="14"/>
        <color theme="1"/>
        <rFont val="Calibri"/>
        <family val="2"/>
        <charset val="204"/>
        <scheme val="minor"/>
      </rPr>
      <t xml:space="preserve">Аргос или Аргос с защитой от 380 Вт;
</t>
    </r>
    <r>
      <rPr>
        <sz val="14"/>
        <color rgb="FF0070C0"/>
        <rFont val="Calibri"/>
        <family val="2"/>
        <charset val="204"/>
        <scheme val="minor"/>
      </rPr>
      <t>Светодиоды:</t>
    </r>
    <r>
      <rPr>
        <sz val="14"/>
        <color theme="1"/>
        <rFont val="Calibri"/>
        <family val="2"/>
        <charset val="204"/>
        <scheme val="minor"/>
      </rPr>
      <t xml:space="preserve"> Samsung;
</t>
    </r>
    <r>
      <rPr>
        <sz val="14"/>
        <color rgb="FF0070C0"/>
        <rFont val="Calibri"/>
        <family val="2"/>
        <charset val="204"/>
        <scheme val="minor"/>
      </rPr>
      <t>Рабочая температура окр. среды:</t>
    </r>
    <r>
      <rPr>
        <sz val="14"/>
        <color theme="1"/>
        <rFont val="Calibri"/>
        <family val="2"/>
        <charset val="204"/>
        <scheme val="minor"/>
      </rPr>
      <t xml:space="preserve">  -60°/+60° С (27, 55 Вт), -40°/+40° С (81 Вт);
</t>
    </r>
    <r>
      <rPr>
        <sz val="14"/>
        <color rgb="FF0070C0"/>
        <rFont val="Calibri"/>
        <family val="2"/>
        <charset val="204"/>
        <scheme val="minor"/>
      </rPr>
      <t xml:space="preserve">Габаритные размеры: </t>
    </r>
    <r>
      <rPr>
        <sz val="14"/>
        <color theme="1"/>
        <rFont val="Calibri"/>
        <family val="2"/>
        <charset val="204"/>
        <scheme val="minor"/>
      </rPr>
      <t xml:space="preserve">симметрично "модуля" с оптикой;
</t>
    </r>
    <r>
      <rPr>
        <sz val="14"/>
        <color rgb="FF0070C0"/>
        <rFont val="Calibri"/>
        <family val="2"/>
        <charset val="204"/>
        <scheme val="minor"/>
      </rPr>
      <t xml:space="preserve">Гарантия: </t>
    </r>
    <r>
      <rPr>
        <sz val="14"/>
        <color theme="1"/>
        <rFont val="Calibri"/>
        <family val="2"/>
        <charset val="204"/>
        <scheme val="minor"/>
      </rPr>
      <t>5 лет.</t>
    </r>
    <r>
      <rPr>
        <sz val="14"/>
        <color theme="4" tint="-0.249977111117893"/>
        <rFont val="Calibri"/>
        <family val="2"/>
        <charset val="204"/>
        <scheme val="minor"/>
      </rPr>
      <t xml:space="preserve">
</t>
    </r>
    <r>
      <rPr>
        <b/>
        <sz val="14"/>
        <rFont val="Calibri"/>
        <family val="2"/>
        <charset val="204"/>
        <scheme val="minor"/>
      </rPr>
      <t xml:space="preserve">2 - </t>
    </r>
    <r>
      <rPr>
        <sz val="14"/>
        <rFont val="Calibri"/>
        <family val="2"/>
        <charset val="204"/>
        <scheme val="minor"/>
      </rPr>
      <t xml:space="preserve">Бюджетный офисный светильник серии "SVT-ARM-U"
</t>
    </r>
    <r>
      <rPr>
        <sz val="14"/>
        <color rgb="FF0070C0"/>
        <rFont val="Calibri"/>
        <family val="2"/>
        <charset val="204"/>
        <scheme val="minor"/>
      </rPr>
      <t xml:space="preserve">Мощность: </t>
    </r>
    <r>
      <rPr>
        <sz val="14"/>
        <rFont val="Calibri"/>
        <family val="2"/>
        <charset val="204"/>
        <scheme val="minor"/>
      </rPr>
      <t xml:space="preserve">36 Вт;
</t>
    </r>
    <r>
      <rPr>
        <sz val="14"/>
        <color rgb="FF0070C0"/>
        <rFont val="Calibri"/>
        <family val="2"/>
        <charset val="204"/>
        <scheme val="minor"/>
      </rPr>
      <t xml:space="preserve">Рассеиватель: </t>
    </r>
    <r>
      <rPr>
        <sz val="14"/>
        <rFont val="Calibri"/>
        <family val="2"/>
        <charset val="204"/>
        <scheme val="minor"/>
      </rPr>
      <t xml:space="preserve">матовый/призматический;
</t>
    </r>
    <r>
      <rPr>
        <sz val="14"/>
        <color rgb="FF0070C0"/>
        <rFont val="Calibri"/>
        <family val="2"/>
        <charset val="204"/>
        <scheme val="minor"/>
      </rPr>
      <t>Светодиоды:</t>
    </r>
    <r>
      <rPr>
        <sz val="14"/>
        <rFont val="Calibri"/>
        <family val="2"/>
        <charset val="204"/>
        <scheme val="minor"/>
      </rPr>
      <t xml:space="preserve"> Lumileds;
</t>
    </r>
    <r>
      <rPr>
        <sz val="14"/>
        <color rgb="FF0070C0"/>
        <rFont val="Calibri"/>
        <family val="2"/>
        <charset val="204"/>
        <scheme val="minor"/>
      </rPr>
      <t xml:space="preserve">Габариты Д/Ш/В: </t>
    </r>
    <r>
      <rPr>
        <sz val="14"/>
        <rFont val="Calibri"/>
        <family val="2"/>
        <charset val="204"/>
        <scheme val="minor"/>
      </rPr>
      <t xml:space="preserve">595х595х40 / 1200х180х40 мм;
</t>
    </r>
    <r>
      <rPr>
        <sz val="14"/>
        <color rgb="FF0070C0"/>
        <rFont val="Calibri"/>
        <family val="2"/>
        <charset val="204"/>
        <scheme val="minor"/>
      </rPr>
      <t>Крепление:</t>
    </r>
    <r>
      <rPr>
        <sz val="14"/>
        <rFont val="Calibri"/>
        <family val="2"/>
        <charset val="204"/>
        <scheme val="minor"/>
      </rPr>
      <t xml:space="preserve"> Накладное/встраиваемое в потолок армстронг;
</t>
    </r>
    <r>
      <rPr>
        <sz val="14"/>
        <color rgb="FF0070C0"/>
        <rFont val="Calibri"/>
        <family val="2"/>
        <charset val="204"/>
        <scheme val="minor"/>
      </rPr>
      <t>Корпус:</t>
    </r>
    <r>
      <rPr>
        <sz val="14"/>
        <rFont val="Calibri"/>
        <family val="2"/>
        <charset val="204"/>
        <scheme val="minor"/>
      </rPr>
      <t xml:space="preserve"> формованная листовая сталь с порошковой окраской;
</t>
    </r>
    <r>
      <rPr>
        <sz val="14"/>
        <color rgb="FF0070C0"/>
        <rFont val="Calibri"/>
        <family val="2"/>
        <charset val="204"/>
        <scheme val="minor"/>
      </rPr>
      <t>Гарантия:</t>
    </r>
    <r>
      <rPr>
        <sz val="14"/>
        <rFont val="Calibri"/>
        <family val="2"/>
        <charset val="204"/>
        <scheme val="minor"/>
      </rPr>
      <t xml:space="preserve"> 5 лет.
</t>
    </r>
    <r>
      <rPr>
        <b/>
        <sz val="14"/>
        <rFont val="Calibri"/>
        <family val="2"/>
        <charset val="204"/>
        <scheme val="minor"/>
      </rPr>
      <t xml:space="preserve">3 - </t>
    </r>
    <r>
      <rPr>
        <sz val="14"/>
        <rFont val="Calibri"/>
        <family val="2"/>
        <charset val="204"/>
        <scheme val="minor"/>
      </rPr>
      <t xml:space="preserve">Бюджетный промышленный светильник серии "Айсберг"
</t>
    </r>
    <r>
      <rPr>
        <sz val="14"/>
        <color rgb="FF0070C0"/>
        <rFont val="Calibri"/>
        <family val="2"/>
        <charset val="204"/>
        <scheme val="minor"/>
      </rPr>
      <t>Мощность:</t>
    </r>
    <r>
      <rPr>
        <sz val="14"/>
        <rFont val="Calibri"/>
        <family val="2"/>
        <charset val="204"/>
        <scheme val="minor"/>
      </rPr>
      <t xml:space="preserve"> 36 Вт;
</t>
    </r>
    <r>
      <rPr>
        <sz val="14"/>
        <color rgb="FF0070C0"/>
        <rFont val="Calibri"/>
        <family val="2"/>
        <charset val="204"/>
        <scheme val="minor"/>
      </rPr>
      <t>Рассеиватель:</t>
    </r>
    <r>
      <rPr>
        <sz val="14"/>
        <rFont val="Calibri"/>
        <family val="2"/>
        <charset val="204"/>
        <scheme val="minor"/>
      </rPr>
      <t xml:space="preserve"> матовый;
</t>
    </r>
    <r>
      <rPr>
        <sz val="14"/>
        <color rgb="FF0070C0"/>
        <rFont val="Calibri"/>
        <family val="2"/>
        <charset val="204"/>
        <scheme val="minor"/>
      </rPr>
      <t>Светодиоды:</t>
    </r>
    <r>
      <rPr>
        <sz val="14"/>
        <rFont val="Calibri"/>
        <family val="2"/>
        <charset val="204"/>
        <scheme val="minor"/>
      </rPr>
      <t xml:space="preserve"> Lumileds;
</t>
    </r>
    <r>
      <rPr>
        <sz val="14"/>
        <color rgb="FF0070C0"/>
        <rFont val="Calibri"/>
        <family val="2"/>
        <charset val="204"/>
        <scheme val="minor"/>
      </rPr>
      <t>Габариты Д/Ш/В:</t>
    </r>
    <r>
      <rPr>
        <sz val="14"/>
        <rFont val="Calibri"/>
        <family val="2"/>
        <charset val="204"/>
        <scheme val="minor"/>
      </rPr>
      <t xml:space="preserve"> 1270х152х100 мм;
</t>
    </r>
    <r>
      <rPr>
        <sz val="14"/>
        <color rgb="FF0070C0"/>
        <rFont val="Calibri"/>
        <family val="2"/>
        <charset val="204"/>
        <scheme val="minor"/>
      </rPr>
      <t>Крепление:</t>
    </r>
    <r>
      <rPr>
        <sz val="14"/>
        <rFont val="Calibri"/>
        <family val="2"/>
        <charset val="204"/>
        <scheme val="minor"/>
      </rPr>
      <t xml:space="preserve"> Накладное / подвесное;
</t>
    </r>
    <r>
      <rPr>
        <sz val="14"/>
        <color rgb="FF0070C0"/>
        <rFont val="Calibri"/>
        <family val="2"/>
        <charset val="204"/>
        <scheme val="minor"/>
      </rPr>
      <t xml:space="preserve">Корпус: </t>
    </r>
    <r>
      <rPr>
        <sz val="14"/>
        <rFont val="Calibri"/>
        <family val="2"/>
        <charset val="204"/>
        <scheme val="minor"/>
      </rPr>
      <t xml:space="preserve">Пластиковый корпус из ABS;
</t>
    </r>
    <r>
      <rPr>
        <sz val="14"/>
        <color rgb="FF0070C0"/>
        <rFont val="Calibri"/>
        <family val="2"/>
        <charset val="204"/>
        <scheme val="minor"/>
      </rPr>
      <t>Гарантия:</t>
    </r>
    <r>
      <rPr>
        <sz val="14"/>
        <rFont val="Calibri"/>
        <family val="2"/>
        <charset val="204"/>
        <scheme val="minor"/>
      </rPr>
      <t xml:space="preserve"> 3 года.</t>
    </r>
  </si>
  <si>
    <t>1225х85х80</t>
  </si>
  <si>
    <t>SVT-STR-DKU-CITY-50-157X57</t>
  </si>
  <si>
    <t>SVT-STR-DKU-CITY-150-157X57</t>
  </si>
  <si>
    <t>SB-00015466</t>
  </si>
  <si>
    <t>767x300x103</t>
  </si>
  <si>
    <t>SB-00017411</t>
  </si>
  <si>
    <t>ЯНВАРЬ 2022</t>
  </si>
  <si>
    <r>
      <t xml:space="preserve">Ввод в ассортимент:
</t>
    </r>
    <r>
      <rPr>
        <sz val="14"/>
        <color theme="1"/>
        <rFont val="Calibri"/>
        <family val="2"/>
        <charset val="204"/>
        <scheme val="minor"/>
      </rPr>
      <t>Светильники серии "DKU-CITY"
Мощность: 50 и 150 Вт;
Энергоэффективность: 148 лм/Вт;
Гарантия: 5 лет.</t>
    </r>
  </si>
  <si>
    <t>SVT-STR-BM-90W-90-DUO</t>
  </si>
  <si>
    <t>SB-00017482</t>
  </si>
  <si>
    <t>2 года. Замена и обслуживание АКБ в гарантию не входит.</t>
  </si>
  <si>
    <t>Прозрачный полистирол</t>
  </si>
  <si>
    <t>Накладное (на стену)</t>
  </si>
  <si>
    <t>350×165×75</t>
  </si>
  <si>
    <t>310×145×76</t>
  </si>
  <si>
    <t>SVT-OFF-EM-6W-1h-настенный (Без пиктограммы)</t>
  </si>
  <si>
    <t>SVT-OFF-EM-6W-3h-настенный (Без пиктограммы)</t>
  </si>
  <si>
    <t>Samsung</t>
  </si>
  <si>
    <t>SB-00017484</t>
  </si>
  <si>
    <t>SB-00017485</t>
  </si>
  <si>
    <t>≥0,95</t>
  </si>
  <si>
    <t>ФЕВРАЛЬ 2022</t>
  </si>
  <si>
    <t>SVT-P-I-v2-400-18W-IP65-M</t>
  </si>
  <si>
    <t>SB-00017549</t>
  </si>
  <si>
    <t>400х76х82</t>
  </si>
  <si>
    <t>Samsung LM281B</t>
  </si>
  <si>
    <t>SVT-P-I-v2-400-18W-IP65-M-inBAT-2h-SK</t>
  </si>
  <si>
    <t>Аргос (аварийный режим: 2 часа, 10% яркости)</t>
  </si>
  <si>
    <t>SB-00017524</t>
  </si>
  <si>
    <t>SB-00017550</t>
  </si>
  <si>
    <t>SVT-P-I-v2-400-18W-IP65-M-inBAT-2h</t>
  </si>
  <si>
    <t>SVT-P-DIRECT-300-22W</t>
  </si>
  <si>
    <t>SVT-P-DIRECT-600-44W</t>
  </si>
  <si>
    <t>SVT-P-DIRECT-750-61W</t>
  </si>
  <si>
    <t>SVT-P-DIRECT-900-72W</t>
  </si>
  <si>
    <t>SVT-P-DIRECT-1200-88W</t>
  </si>
  <si>
    <t>SVT-P-DIRECT-1500-122W</t>
  </si>
  <si>
    <t>P-DIRECT</t>
  </si>
  <si>
    <t>SVT-OFF-DIRECT-900-40W-95x30-RB</t>
  </si>
  <si>
    <t xml:space="preserve">SVT-OFF-DIRECT-900-40W-60x110-RB </t>
  </si>
  <si>
    <t xml:space="preserve">SVT-OFF-DIRECT-900-40W-ASYMM-RB </t>
  </si>
  <si>
    <t xml:space="preserve">SVT-OFF-DIRECT-900-40W-D-ASYMM-RB </t>
  </si>
  <si>
    <t>SVT-OFF-DIRECT-900-40W-M-RB</t>
  </si>
  <si>
    <t>SVT-OFF-DIRECT-900-40W-PR-RB</t>
  </si>
  <si>
    <t>SVT-OFF-DIRECT-1200-54W-95x30-RB</t>
  </si>
  <si>
    <t>SVT-OFF-DIRECT-1200-54W-60x110-RB</t>
  </si>
  <si>
    <t>SVT-OFF-DIRECT-1200-54W-ASYMM-RB</t>
  </si>
  <si>
    <t>SVT-OFF-DIRECT-1200-54W-D-ASYMM-RB</t>
  </si>
  <si>
    <t>SVT-OFF-DIRECT-1200-54W-M-RB</t>
  </si>
  <si>
    <t>SVT-OFF-DIRECT-1500-67W-95x30-RB</t>
  </si>
  <si>
    <t>SVT-OFF-DIRECT-1500-67W-60x110-RB</t>
  </si>
  <si>
    <t>SVT-OFF-DIRECT-1500-67W-ASYMM-RB</t>
  </si>
  <si>
    <t>SVT-OFF-DIRECT-1500-67W-D-ASYMM-RB</t>
  </si>
  <si>
    <t>SVT-OFF-DIRECT-1500-67W-M-RB</t>
  </si>
  <si>
    <t>SVT-OFF-DIRECT-1500-67W-PR-RB</t>
  </si>
  <si>
    <t>OFF-DIRECT</t>
  </si>
  <si>
    <t>Овал, 95x30</t>
  </si>
  <si>
    <t>Овал, 60x110</t>
  </si>
  <si>
    <t>Асимметричная</t>
  </si>
  <si>
    <t>Двойная асимметричная</t>
  </si>
  <si>
    <t>Стекло силикатное прозрачное + дополнительная оптика</t>
  </si>
  <si>
    <t>Матовый рассеиватель (равномерная заливка)</t>
  </si>
  <si>
    <t>Призматический рассеиватель</t>
  </si>
  <si>
    <t>ARH-DIRECT</t>
  </si>
  <si>
    <t>Прозрачный поликарбонат + дополнительная оптика, залитая прозрачным компаундом</t>
  </si>
  <si>
    <t xml:space="preserve">Прозрачный поликарбонат </t>
  </si>
  <si>
    <t>SVT-OFF-DIRECT-1200-54W-PR-RB</t>
  </si>
  <si>
    <t>SB-00017576</t>
  </si>
  <si>
    <t>SB-00017577</t>
  </si>
  <si>
    <t>SB-00017578</t>
  </si>
  <si>
    <t>SB-00017579</t>
  </si>
  <si>
    <t>SB-00017580</t>
  </si>
  <si>
    <t>SB-00017581</t>
  </si>
  <si>
    <t>SB-00017607</t>
  </si>
  <si>
    <t>SB-00017608</t>
  </si>
  <si>
    <t>SB-00017609</t>
  </si>
  <si>
    <t>SB-00017610</t>
  </si>
  <si>
    <t>SB-00017611</t>
  </si>
  <si>
    <t>SB-00017612</t>
  </si>
  <si>
    <t>SB-00017613</t>
  </si>
  <si>
    <t>SB-00017614</t>
  </si>
  <si>
    <t>SB-00017615</t>
  </si>
  <si>
    <t>SB-00017616</t>
  </si>
  <si>
    <t>SB-00017617</t>
  </si>
  <si>
    <t>SB-00017618</t>
  </si>
  <si>
    <t>SB-00017619</t>
  </si>
  <si>
    <t>SB-00017620</t>
  </si>
  <si>
    <t>SB-00017621</t>
  </si>
  <si>
    <t>SB-00017622</t>
  </si>
  <si>
    <t>SB-00017623</t>
  </si>
  <si>
    <t>SB-00017624</t>
  </si>
  <si>
    <t>306x63x68</t>
  </si>
  <si>
    <t>606x63x68</t>
  </si>
  <si>
    <t>756x63x68</t>
  </si>
  <si>
    <t>906x63x68</t>
  </si>
  <si>
    <t>1206x63x68</t>
  </si>
  <si>
    <t>1506x63x68</t>
  </si>
  <si>
    <t>SVT-OFF-DIRECT-600-38W-95x30-TRACK</t>
  </si>
  <si>
    <t>SVT-OFF-DIRECT-600-38W-60x110-TRACK</t>
  </si>
  <si>
    <t>SVT-OFF-DIRECT-600-38W-ASYMM-TRACK</t>
  </si>
  <si>
    <t>SVT-OFF-DIRECT-600-38W-D-ASYMM-TRACK</t>
  </si>
  <si>
    <t>SVT-OFF-DIRECT-600-38W-M-TRACK</t>
  </si>
  <si>
    <t>SVT-OFF-DIRECT-600-38W-PR-TRACK</t>
  </si>
  <si>
    <t>SVT-OFF-DIRECT-600-47W-95x30-TRACK</t>
  </si>
  <si>
    <t>SVT-OFF-DIRECT-600-47W-60x110-TRACK</t>
  </si>
  <si>
    <t>SVT-OFF-DIRECT-600-47W-ASYMM-TRACK</t>
  </si>
  <si>
    <t>SVT-OFF-DIRECT-600-47W-D-ASYMM-TRACK</t>
  </si>
  <si>
    <t>SVT-OFF-DIRECT-600-47W-M-TRACK</t>
  </si>
  <si>
    <t>SVT-OFF-DIRECT-600-47W-PR-TRACK</t>
  </si>
  <si>
    <t>На шинопровод</t>
  </si>
  <si>
    <r>
      <t xml:space="preserve">Ввод в ассортимент:
Новая серия светильников серии "DIRECT":
</t>
    </r>
    <r>
      <rPr>
        <sz val="14"/>
        <color theme="1"/>
        <rFont val="Calibri"/>
        <family val="2"/>
        <charset val="204"/>
        <scheme val="minor"/>
      </rPr>
      <t>1 - Промышленное назначение P-DIRECT
 - 306 - 1506 мм;
 - 22 - 122 Вт;
 - 150 лм/Вт;
 - IP65;
 - рассеиватель - прозрачный поликарбонат
 - КСС: Д, 120 грд.
2 - Линейные светильники для ритейла серии OFF-DIRECT
 - 906 - 1506 мм;
 - 40 - 67 Вт;
 - 144 - 130 лм/Вт;
 - Рассеиватель: матовый (равномерная засветка) / призма или стекло силикатное прозрачное + дополнительная оптика в ассортименте: Овал, 95x30 / Овал, 60x110 / асимметричная / двойная асимметричная;
 - IP54.
3 - Ахитектурные светильники серии "ARH-DIRECT"
 - 906 мм;
 - 12 - 77 Вт;
 - 132 - 169 лм/Вт;
 - Рассеиватель: Прозрачный поликарбонат + дополнительная оптика, залитая прозрачным компаундом;
 - IP67
 - КСС: К, 8 / К, 15 / К, 25 / Г, 45 / Овал, 10x60 / Овал, 20x50.</t>
    </r>
    <r>
      <rPr>
        <b/>
        <sz val="14"/>
        <color theme="1"/>
        <rFont val="Calibri"/>
        <family val="2"/>
        <charset val="204"/>
        <scheme val="minor"/>
      </rPr>
      <t xml:space="preserve">
Ввод в ассортимент:
</t>
    </r>
    <r>
      <rPr>
        <sz val="14"/>
        <color theme="1"/>
        <rFont val="Calibri"/>
        <family val="2"/>
        <charset val="204"/>
        <scheme val="minor"/>
      </rPr>
      <t xml:space="preserve">Аварийные указатели с БАП настенные:
SVT-OFF-EM-6W-1h-настенный (Без пиктограммы);
SVT-OFF-EM-6W-3h-настенный.
Мощность 6 Вт с БАП на 1 и на 3 часа
Аварийный режим работы: 1 - 3 часа -  50% яркости.
</t>
    </r>
    <r>
      <rPr>
        <b/>
        <sz val="14"/>
        <color theme="1"/>
        <rFont val="Calibri"/>
        <family val="2"/>
        <charset val="204"/>
        <scheme val="minor"/>
      </rPr>
      <t>Замена позиций (вывод из ассортимента светильников серии "SVT-P-I-390"):</t>
    </r>
    <r>
      <rPr>
        <sz val="14"/>
        <color theme="1"/>
        <rFont val="Calibri"/>
        <family val="2"/>
        <charset val="204"/>
        <scheme val="minor"/>
      </rPr>
      <t xml:space="preserve">
1 - SVT-P-I-390-18W-M-IP65 = SVT-P-I-v2-400-18W-IP65-M;
2 - SVT-P-I-390-18W-M-IP65-inBAT-2h-SK = SVT-P-I-v2-400-18W-IP65-M-inBAT-2h-SK
3 - SVT-P-I-390-18W-M-IP65-inBAT-2h = SVT-P-I-v2-400-18W-IP65-M-inBAT-2h
</t>
    </r>
    <r>
      <rPr>
        <b/>
        <sz val="14"/>
        <color theme="1"/>
        <rFont val="Calibri"/>
        <family val="2"/>
        <charset val="204"/>
        <scheme val="minor"/>
      </rPr>
      <t>Вывод из ассортимента: Светильники низковольтные серии "SVT-P-I-390" (Низковольтный МиниАйсберг)</t>
    </r>
  </si>
  <si>
    <t>МАРТ 01.03.2022</t>
  </si>
  <si>
    <t>Повышение отпускных цен на 20%</t>
  </si>
  <si>
    <t>МАРТ 03.03.2022</t>
  </si>
  <si>
    <t>Повышение отпускных цен на 10%</t>
  </si>
  <si>
    <t>МАРТ 09.03.2022</t>
  </si>
  <si>
    <t>МАРТ 18.03.2022</t>
  </si>
  <si>
    <t>1 - Изменение цен на модуль 80 Вт (модели на базе SVT-STR-M-80W);
2 - Изменение цен на SVT-STR-DKU.</t>
  </si>
  <si>
    <t>АПРЕЛЬ 2022</t>
  </si>
  <si>
    <t>Снижение отпускных цен на всю продукцию на 10%</t>
  </si>
  <si>
    <t>Алюминий с порошковой окраской</t>
  </si>
  <si>
    <t xml:space="preserve">MPRO без доп. оптики. Маркировка - 2Ех nС IIC T6 Gc Х  Ex tc IIIС T85°C Dc X
</t>
  </si>
  <si>
    <t>MPRO-Ex</t>
  </si>
  <si>
    <t>SVT-Str-MPRO-32W-Ex-MONO-120</t>
  </si>
  <si>
    <t>SVT-Str-MPRO-48W-Ex-MONO-120</t>
  </si>
  <si>
    <t>SVT-Str-MPRO-61W-Ex-MONO-120</t>
  </si>
  <si>
    <t>SVT-Str-MPRO-80W-Ex-MONO-120</t>
  </si>
  <si>
    <t>SVT-Str-MPRO-96W-Ex-MONO-120</t>
  </si>
  <si>
    <t>SVT-Str-MPRO-61W-Ex-DUO-120</t>
  </si>
  <si>
    <t>Samsung LM281B+ 168x2 шт</t>
  </si>
  <si>
    <t>SVT-Str-MPRO-80W-Ex-DUO-120</t>
  </si>
  <si>
    <t>Samsung LM281B+ 216x2 шт</t>
  </si>
  <si>
    <t>SVT-Str-MPRO-96W-Ex-DUO-120</t>
  </si>
  <si>
    <t>Samsung LM281B+ 264x2 шт</t>
  </si>
  <si>
    <t>SVT-Str-MPRO-61W-Ex-TRIO-120</t>
  </si>
  <si>
    <t>Samsung LM281B+ 168x3 шт</t>
  </si>
  <si>
    <t>SVT-Str-MPRO-80W-Ex-TRIO-120</t>
  </si>
  <si>
    <t>Samsung LM281B+ 216x3 шт</t>
  </si>
  <si>
    <t>SVT-Str-MPRO-96W-Ex-TRIO-120</t>
  </si>
  <si>
    <t>Samsung LM281B+ 264x3 шт</t>
  </si>
  <si>
    <t>SVT-Str-MPRO-61W-Ex-QUATTRO-120</t>
  </si>
  <si>
    <t>Samsung LM281B+ 168x4 шт</t>
  </si>
  <si>
    <t>SVT-Str-MPRO-80W-Ex-QUATTRO-120</t>
  </si>
  <si>
    <t>Samsung LM281B+ 216x4 шт</t>
  </si>
  <si>
    <t>SVT-Str-MPRO-96W-Ex-QUATTRO-120</t>
  </si>
  <si>
    <t>Samsung LM281B+ 264x4 шт</t>
  </si>
  <si>
    <t xml:space="preserve">MPRO с оптикой. Маркировка - 2Ех nС IIC T6 Gc Х
  Ex tc IIIС T85°C Dc X
</t>
  </si>
  <si>
    <t>SVT-Str-MPRO-27W-Ex-MONO-45x140</t>
  </si>
  <si>
    <t>SVT-Str-MPRO-27W-Ex-MONO-20</t>
  </si>
  <si>
    <t>SVT-Str-MPRO-27W-Ex-MONO-35</t>
  </si>
  <si>
    <t>SVT-Str-MPRO-27W-Ex-MONO-65</t>
  </si>
  <si>
    <t>SVT-Str-MPRO-27W-Ex-MONO-100</t>
  </si>
  <si>
    <t>SVT-Str-MPRO-27W-Ex-MONO-30x120</t>
  </si>
  <si>
    <t>SVT-Str-MPRO-27W-Ex-MONO-150</t>
  </si>
  <si>
    <t>SVT-Str-MPRO-53W-Ex-MONO-45x140</t>
  </si>
  <si>
    <t>SVT-Str-MPRO-53W-Ex-MONO-20</t>
  </si>
  <si>
    <t>SVT-Str-MPRO-53W-Ex-MONO-35</t>
  </si>
  <si>
    <t>SVT-Str-MPRO-53W-Ex-MONO-65</t>
  </si>
  <si>
    <t>SVT-Str-MPRO-53W-Ex-MONO-100</t>
  </si>
  <si>
    <t>SVT-Str-MPRO-53W-Ex-MONO-30x120</t>
  </si>
  <si>
    <t>SVT-Str-MPRO-53W-Ex-MONO-150</t>
  </si>
  <si>
    <t>SVT-Str-MPRO-79W-Ex-MONO-45x140</t>
  </si>
  <si>
    <t>SVT-Str-MPRO-79W-Ex-MONO-20</t>
  </si>
  <si>
    <t>SVT-Str-MPRO-79W-Ex-MONO-35</t>
  </si>
  <si>
    <t>SVT-Str-MPRO-79W-Ex-MONO-65</t>
  </si>
  <si>
    <t>SVT-Str-MPRO-79W-Ex-MONO-100</t>
  </si>
  <si>
    <t>SVT-Str-MPRO-79W-Ex-MONO-30x120</t>
  </si>
  <si>
    <t>SVT-Str-MPRO-79W-Ex-MONO-150</t>
  </si>
  <si>
    <t>SVT-Str-MPRO-102W-Ex-MONO-45x140</t>
  </si>
  <si>
    <t>SVT-Str-MPRO-102W-Ex-MONO-20</t>
  </si>
  <si>
    <t>SVT-Str-MPRO-102W-Ex-MONO-35</t>
  </si>
  <si>
    <t>SVT-Str-MPRO-102W-Ex-MONO-65</t>
  </si>
  <si>
    <t>SVT-Str-MPRO-102W-Ex-MONO-100</t>
  </si>
  <si>
    <t>SVT-Str-MPRO-102W-Ex-MONO-30x120</t>
  </si>
  <si>
    <t>SVT-Str-MPRO-102W-Ex-MONO-150</t>
  </si>
  <si>
    <t>SVT-Str-MPRO-53W-Ex-DUO-45x140</t>
  </si>
  <si>
    <t>CREE/Samsung 24x2шт</t>
  </si>
  <si>
    <t>SVT-Str-MPRO-53W-Ex-DUO-20</t>
  </si>
  <si>
    <t>SVT-Str-MPRO-53W-Ex-DUO-35</t>
  </si>
  <si>
    <t>SVT-Str-MPRO-53W-Ex-DUO-65</t>
  </si>
  <si>
    <t>SVT-Str-MPRO-53W-Ex-DUO-100</t>
  </si>
  <si>
    <t>SVT-Str-MPRO-53W-Ex-DUO-30x120</t>
  </si>
  <si>
    <t>SVT-Str-MPRO-53W-Ex-DUO-150</t>
  </si>
  <si>
    <t>SVT-Str-MPRO-79W-Ex-DUO-45x140</t>
  </si>
  <si>
    <t>CREE/Samsung 36x2шт</t>
  </si>
  <si>
    <t>SVT-Str-MPRO-79W-Ex-DUO-20</t>
  </si>
  <si>
    <t>SVT-Str-MPRO-79W-Ex-DUO-35</t>
  </si>
  <si>
    <t>SVT-Str-MPRO-79W-Ex-DUO-65</t>
  </si>
  <si>
    <t>SVT-Str-MPRO-79W-Ex-DUO-100</t>
  </si>
  <si>
    <t>SVT-Str-MPRO-79W-Ex-DUO-30x120</t>
  </si>
  <si>
    <t>SVT-Str-MPRO-79W-Ex-DUO-150</t>
  </si>
  <si>
    <t>SVT-Str-MPRO-102W-Ex-DUO-45x140</t>
  </si>
  <si>
    <t>CREE/Samsung 48x2шт</t>
  </si>
  <si>
    <t>SVT-Str-MPRO-102W-Ex-DUO-20</t>
  </si>
  <si>
    <t>SVT-Str-MPRO-102W-Ex-DUO-35</t>
  </si>
  <si>
    <t>SVT-Str-MPRO-102W-Ex-DUO-65</t>
  </si>
  <si>
    <t>SVT-Str-MPRO-102W-Ex-DUO-100</t>
  </si>
  <si>
    <t>SVT-Str-MPRO-102W-Ex-DUO-30x120</t>
  </si>
  <si>
    <t>SVT-Str-MPRO-102W-Ex-DUO-150</t>
  </si>
  <si>
    <t>SVT-Str-MPRO-53W-Ex-TRIO-45x140</t>
  </si>
  <si>
    <t>CREE/Samsung 24x3шт</t>
  </si>
  <si>
    <t>SVT-Str-MPRO-53W-Ex-TRIO-20</t>
  </si>
  <si>
    <t>SVT-Str-MPRO-53W-Ex-TRIO-35</t>
  </si>
  <si>
    <t>SVT-Str-MPRO-53W-Ex-TRIO-65</t>
  </si>
  <si>
    <t>SVT-Str-MPRO-53W-Ex-TRIO-100</t>
  </si>
  <si>
    <t>SVT-Str-MPRO-53W-Ex-TRIO-30x120</t>
  </si>
  <si>
    <t>SVT-Str-MPRO-53W-Ex-TRIO-150</t>
  </si>
  <si>
    <t>SVT-Str-MPRO-79W-Ex-TRIO-45x140</t>
  </si>
  <si>
    <t>CREE/Samsung 36x3шт</t>
  </si>
  <si>
    <t>SVT-Str-MPRO-79W-Ex-TRIO-20</t>
  </si>
  <si>
    <t>SVT-Str-MPRO-79W-Ex-TRIO-35</t>
  </si>
  <si>
    <t>SVT-Str-MPRO-79W-Ex-TRIO-65</t>
  </si>
  <si>
    <t>SVT-Str-MPRO-79W-Ex-TRIO-100</t>
  </si>
  <si>
    <t>SVT-Str-MPRO-79W-Ex-TRIO-30x120</t>
  </si>
  <si>
    <t>SVT-Str-MPRO-79W-Ex-TRIO-150</t>
  </si>
  <si>
    <t>SVT-Str-MPRO-102W-Ex-TRIO-45x140</t>
  </si>
  <si>
    <t>CREE/Samsung 48x3шт</t>
  </si>
  <si>
    <t>SVT-Str-MPRO-102W-Ex-TRIO-20</t>
  </si>
  <si>
    <t>SVT-Str-MPRO-102W-Ex-TRIO-35</t>
  </si>
  <si>
    <t>SVT-Str-MPRO-102W-Ex-TRIO-65</t>
  </si>
  <si>
    <t>SVT-Str-MPRO-102W-Ex-TRIO-100</t>
  </si>
  <si>
    <t>SVT-Str-MPRO-102W-Ex-TRIO-30x120</t>
  </si>
  <si>
    <t>SVT-Str-MPRO-102W-Ex-TRIO-150</t>
  </si>
  <si>
    <t>SVT-Str-MPRO-53W-Ex-QUATTRO-45x140</t>
  </si>
  <si>
    <t>CREE/Samsung 24x4шт</t>
  </si>
  <si>
    <t>SVT-Str-MPRO-53W-Ex-QUATTRO-20</t>
  </si>
  <si>
    <t>SVT-Str-MPRO-53W-Ex-QUATTRO-35</t>
  </si>
  <si>
    <t>SVT-Str-MPRO-53W-Ex-QUATTRO-65</t>
  </si>
  <si>
    <t>SVT-Str-MPRO-53W-Ex-QUATTRO-100</t>
  </si>
  <si>
    <t>SVT-Str-MPRO-53W-Ex-QUATTRO-30x120</t>
  </si>
  <si>
    <t>SVT-Str-MPRO-53W-Ex-QUATTRO-150</t>
  </si>
  <si>
    <t>SVT-Str-MPRO-79W-Ex-QUATTRO-45x140</t>
  </si>
  <si>
    <t>CREE/Samsung 36x4шт</t>
  </si>
  <si>
    <t>SVT-Str-MPRO-79W-Ex-QUATTRO-20</t>
  </si>
  <si>
    <t>SVT-Str-MPRO-79W-Ex-QUATTRO-35</t>
  </si>
  <si>
    <t>SVT-Str-MPRO-79W-Ex-QUATTRO-65</t>
  </si>
  <si>
    <t>SVT-Str-MPRO-79W-Ex-QUATTRO-100</t>
  </si>
  <si>
    <t>SVT-Str-MPRO-79W-Ex-QUATTRO-30x120</t>
  </si>
  <si>
    <t>SVT-Str-MPRO-79W-Ex-QUATTRO-150</t>
  </si>
  <si>
    <t>SVT-Str-MPRO-102W-Ex-QUATTRO-45x140</t>
  </si>
  <si>
    <t>CREE/Samsung 48x4шт</t>
  </si>
  <si>
    <t>SVT-Str-MPRO-102W-Ex-QUATTRO-20</t>
  </si>
  <si>
    <t>SVT-Str-MPRO-102W-Ex-QUATTRO-35</t>
  </si>
  <si>
    <t>SVT-Str-MPRO-102W-Ex-QUATTRO-65</t>
  </si>
  <si>
    <t>SVT-Str-MPRO-102W-Ex-QUATTRO-100</t>
  </si>
  <si>
    <t>SVT-Str-MPRO-102W-Ex-QUATTRO-30x120</t>
  </si>
  <si>
    <t>SVT-Str-MPRO-102W-Ex-QUATTRO-150</t>
  </si>
  <si>
    <t>DIRECT-Ex</t>
  </si>
  <si>
    <t>SVT-Str-DIRECT-6W-Ex-120</t>
  </si>
  <si>
    <t>Универсальный поворотный кронштейн</t>
  </si>
  <si>
    <t>SVT-Str-DIRECT-12W-Ex-120</t>
  </si>
  <si>
    <t>SVT-Str-DIRECT-24W-Ex-120</t>
  </si>
  <si>
    <t>SVT-Str-DIRECT-36W-Ex-120</t>
  </si>
  <si>
    <t>SVT-Str-DIRECT-50W-Ex-120</t>
  </si>
  <si>
    <t>SVT-Str-DIRECT-64W-Ex-120</t>
  </si>
  <si>
    <t>SVT-Str-DIRECT-6W-Ex-8</t>
  </si>
  <si>
    <t>SVT-Str-DIRECT-6W-Ex-15</t>
  </si>
  <si>
    <t>SVT-Str-DIRECT-6W-Ex-25</t>
  </si>
  <si>
    <t>SVT-Str-DIRECT-6W-Ex-45</t>
  </si>
  <si>
    <t>SVT-Str-DIRECT-6W-Ex-10x60</t>
  </si>
  <si>
    <t>SVT-Str-DIRECT-12W-Ex-8</t>
  </si>
  <si>
    <t>SVT-Str-DIRECT-12W-Ex-15</t>
  </si>
  <si>
    <t>SVT-Str-DIRECT-12W-Ex-25</t>
  </si>
  <si>
    <t>SVT-Str-DIRECT-12W-Ex-45</t>
  </si>
  <si>
    <t>SVT-Str-DIRECT-12W-Ex-10x60</t>
  </si>
  <si>
    <t>SVT-Str-DIRECT-24W-Ex-8</t>
  </si>
  <si>
    <t>SVT-Str-DIRECT-24W-Ex-15</t>
  </si>
  <si>
    <t>SVT-Str-DIRECT-24W-Ex-25</t>
  </si>
  <si>
    <t>SVT-Str-DIRECT-24W-Ex-45</t>
  </si>
  <si>
    <t>SVT-Str-DIRECT-24W-Ex-10x60</t>
  </si>
  <si>
    <t>SVT-Str-DIRECT-36W-Ex-8</t>
  </si>
  <si>
    <t>SVT-Str-DIRECT-36W-Ex-15</t>
  </si>
  <si>
    <t>SVT-Str-DIRECT-36W-Ex-25</t>
  </si>
  <si>
    <t>SVT-Str-DIRECT-36W-Ex-45</t>
  </si>
  <si>
    <t>SVT-Str-DIRECT-36W-Ex-10x60</t>
  </si>
  <si>
    <t>SVT-Str-DIRECT-50W-Ex-8</t>
  </si>
  <si>
    <t>SVT-Str-DIRECT-50W-Ex-15</t>
  </si>
  <si>
    <t>SVT-Str-DIRECT-50W-Ex-25</t>
  </si>
  <si>
    <t>SVT-Str-DIRECT-50W-Ex-45</t>
  </si>
  <si>
    <t>SVT-Str-DIRECT-50W-Ex-10x60</t>
  </si>
  <si>
    <t>SVT-Str-DIRECT-64W-Ex-8</t>
  </si>
  <si>
    <t>SVT-Str-DIRECT-64W-Ex-15</t>
  </si>
  <si>
    <t>SVT-Str-DIRECT-64W-Ex-25</t>
  </si>
  <si>
    <t>SVT-Str-DIRECT-64W-Ex-45</t>
  </si>
  <si>
    <t>SVT-Str-DIRECT-64W-Ex-10x60</t>
  </si>
  <si>
    <r>
      <t xml:space="preserve">1 - Сняты с производства следующие серии взрывобезопас светильников:
SVT-STR-U-L; SVT-STR-P-S.
2 - Взамен снятых с производства серий (SVT-STR-U-L; SVT-STR-P-S) вводим в ассортимент более современные модели взрывобезопасных светильников:
</t>
    </r>
    <r>
      <rPr>
        <sz val="14"/>
        <color theme="1"/>
        <rFont val="Calibri"/>
        <family val="2"/>
        <charset val="204"/>
        <scheme val="minor"/>
      </rPr>
      <t xml:space="preserve">SVT-STR-DIRECT (аналог SVT-STR-U-L) со следующей маркировкой взрывозащиты:
  2Ех nC IIC T6 Gc Х 
  Ex tc IIIС T85°C Dc X
SVT-STR-MPRO (аналог SVT-STR-P-S) со следующей маркировкой взрывозащиты:
  2Ех nС IIC T6 Gc Х
  Ex tc IIIС T85°C Dc X
</t>
    </r>
    <r>
      <rPr>
        <b/>
        <sz val="14"/>
        <color theme="1"/>
        <rFont val="Calibri"/>
        <family val="2"/>
        <charset val="204"/>
        <scheme val="minor"/>
      </rPr>
      <t>3 - в разделе "Для школьных учреждений "</t>
    </r>
    <r>
      <rPr>
        <sz val="14"/>
        <color theme="1"/>
        <rFont val="Calibri"/>
        <family val="2"/>
        <charset val="204"/>
        <scheme val="minor"/>
      </rPr>
      <t xml:space="preserve"> на всех светильниках увеличин индекс цветопередачи до CRI 90+ по требованию постановления ПРФ № 2255 от 24.12.2020 года (пункт 26).</t>
    </r>
  </si>
  <si>
    <t>158x60x130</t>
  </si>
  <si>
    <t>308x60x130</t>
  </si>
  <si>
    <t>608x60x130</t>
  </si>
  <si>
    <t>908x60x130</t>
  </si>
  <si>
    <t>1208x60x130</t>
  </si>
  <si>
    <t>1508x60x130</t>
  </si>
  <si>
    <t>208x97x145</t>
  </si>
  <si>
    <t>408x97x145</t>
  </si>
  <si>
    <t>608x97x145</t>
  </si>
  <si>
    <t>804x97x165</t>
  </si>
  <si>
    <t>404x210x291</t>
  </si>
  <si>
    <t>604x210x291</t>
  </si>
  <si>
    <t>804x210x291</t>
  </si>
  <si>
    <t>404x320x291</t>
  </si>
  <si>
    <t>604x320x291</t>
  </si>
  <si>
    <t>804x320x291</t>
  </si>
  <si>
    <t>404x427x291</t>
  </si>
  <si>
    <t>604x427x291</t>
  </si>
  <si>
    <t>804x427x291</t>
  </si>
  <si>
    <t>258x97x145</t>
  </si>
  <si>
    <t>308x97x145</t>
  </si>
  <si>
    <t>458x97x145</t>
  </si>
  <si>
    <t>508x97x145</t>
  </si>
  <si>
    <t>320x210x291</t>
  </si>
  <si>
    <t>454x210x291</t>
  </si>
  <si>
    <t>504x210x291</t>
  </si>
  <si>
    <t>320x320x291</t>
  </si>
  <si>
    <t>454x320x291</t>
  </si>
  <si>
    <t>504x320x291</t>
  </si>
  <si>
    <t>504x427x291</t>
  </si>
  <si>
    <t>454x427x291</t>
  </si>
  <si>
    <t>320x427x291</t>
  </si>
  <si>
    <t xml:space="preserve">DIRECT с оптикой. Маркировка - 2Ех nC IIC T6 Gc Х Ex tc IIIС T85°C Dc X
</t>
  </si>
  <si>
    <t xml:space="preserve">DIRECT без доп. оптики. Маркировка - 2Ех nC IIC T6 Gc Х Ex tc IIIС T85°C Dc X
</t>
  </si>
  <si>
    <t>МАЙ 2022</t>
  </si>
  <si>
    <t>SB-00018019</t>
  </si>
  <si>
    <t>SB-00018091</t>
  </si>
  <si>
    <t>SB-00018092</t>
  </si>
  <si>
    <t>SB-00018093</t>
  </si>
  <si>
    <t>SB-00018094</t>
  </si>
  <si>
    <t>SB-00018095</t>
  </si>
  <si>
    <t>SB-00018096</t>
  </si>
  <si>
    <t>SB-00018097</t>
  </si>
  <si>
    <t>SB-00018098</t>
  </si>
  <si>
    <t>SB-00018099</t>
  </si>
  <si>
    <t>SB-00018100</t>
  </si>
  <si>
    <t>SB-00018101</t>
  </si>
  <si>
    <t>SB-00018102</t>
  </si>
  <si>
    <t>SB-00018103</t>
  </si>
  <si>
    <t>SB-00018104</t>
  </si>
  <si>
    <t>SB-00018105</t>
  </si>
  <si>
    <t>SB-00018106</t>
  </si>
  <si>
    <t>SB-00018107</t>
  </si>
  <si>
    <t>SB-00018108</t>
  </si>
  <si>
    <t>SB-00017911</t>
  </si>
  <si>
    <t>SB-00018109</t>
  </si>
  <si>
    <t>SB-00018110</t>
  </si>
  <si>
    <t>SB-00018111</t>
  </si>
  <si>
    <t>SB-00018112</t>
  </si>
  <si>
    <t>SB-00018113</t>
  </si>
  <si>
    <t>SB-00018114</t>
  </si>
  <si>
    <t>SB-00018115</t>
  </si>
  <si>
    <t>SB-00018116</t>
  </si>
  <si>
    <t>SB-00018117</t>
  </si>
  <si>
    <t>SB-00018118</t>
  </si>
  <si>
    <t>SB-00018119</t>
  </si>
  <si>
    <t>SB-00018120</t>
  </si>
  <si>
    <t>SB-00018121</t>
  </si>
  <si>
    <t>SB-00018122</t>
  </si>
  <si>
    <t>SB-00018123</t>
  </si>
  <si>
    <t>SB-00018124</t>
  </si>
  <si>
    <t>SB-00018125</t>
  </si>
  <si>
    <t>SB-00018126</t>
  </si>
  <si>
    <t>SB-00018127</t>
  </si>
  <si>
    <t>SB-00018128</t>
  </si>
  <si>
    <t>SB-00018129</t>
  </si>
  <si>
    <t>SB-00018130</t>
  </si>
  <si>
    <t>SB-00018131</t>
  </si>
  <si>
    <t>SB-00018132</t>
  </si>
  <si>
    <t>SB-00018133</t>
  </si>
  <si>
    <t>SB-00018134</t>
  </si>
  <si>
    <t>SB-00018135</t>
  </si>
  <si>
    <t>SB-00018136</t>
  </si>
  <si>
    <t>SB-00018137</t>
  </si>
  <si>
    <t>SB-00018138</t>
  </si>
  <si>
    <t>SB-00018139</t>
  </si>
  <si>
    <t>SB-00018140</t>
  </si>
  <si>
    <t>SB-00018141</t>
  </si>
  <si>
    <t>SB-00018142</t>
  </si>
  <si>
    <t>SB-00018143</t>
  </si>
  <si>
    <t>SB-00018144</t>
  </si>
  <si>
    <t>SB-00018145</t>
  </si>
  <si>
    <t>SB-00018146</t>
  </si>
  <si>
    <t>SB-00018147</t>
  </si>
  <si>
    <t>SB-00018148</t>
  </si>
  <si>
    <t>SB-00018149</t>
  </si>
  <si>
    <t>SB-00018150</t>
  </si>
  <si>
    <t>SB-00018151</t>
  </si>
  <si>
    <t>SB-00018152</t>
  </si>
  <si>
    <t>SB-00018153</t>
  </si>
  <si>
    <t>SB-00018154</t>
  </si>
  <si>
    <t>SB-00018155</t>
  </si>
  <si>
    <t>SB-00018156</t>
  </si>
  <si>
    <t>SB-00018157</t>
  </si>
  <si>
    <t>SB-00018158</t>
  </si>
  <si>
    <t>SB-00018159</t>
  </si>
  <si>
    <t>SB-00018160</t>
  </si>
  <si>
    <t>SB-00018161</t>
  </si>
  <si>
    <t>SB-00018162</t>
  </si>
  <si>
    <t>SB-00018163</t>
  </si>
  <si>
    <t>SB-00018164</t>
  </si>
  <si>
    <t>SB-00018165</t>
  </si>
  <si>
    <t>SB-00018166</t>
  </si>
  <si>
    <t>SB-00018167</t>
  </si>
  <si>
    <t>SB-00018168</t>
  </si>
  <si>
    <t>SB-00018169</t>
  </si>
  <si>
    <t>SB-00018170</t>
  </si>
  <si>
    <t>SB-00018171</t>
  </si>
  <si>
    <t>SB-00018172</t>
  </si>
  <si>
    <t>SB-00018173</t>
  </si>
  <si>
    <t>SB-00018174</t>
  </si>
  <si>
    <t>SB-00018175</t>
  </si>
  <si>
    <t>SB-00018176</t>
  </si>
  <si>
    <t>SB-00018177</t>
  </si>
  <si>
    <t>SB-00018178</t>
  </si>
  <si>
    <t>SB-00018179</t>
  </si>
  <si>
    <t>SB-00018180</t>
  </si>
  <si>
    <t>SB-00018181</t>
  </si>
  <si>
    <t>SB-00018182</t>
  </si>
  <si>
    <t>SB-00018183</t>
  </si>
  <si>
    <t>SB-00018184</t>
  </si>
  <si>
    <t>SB-00018185</t>
  </si>
  <si>
    <t>SB-00018186</t>
  </si>
  <si>
    <t>SB-00018187</t>
  </si>
  <si>
    <t>SB-00018188</t>
  </si>
  <si>
    <t>SB-00018189</t>
  </si>
  <si>
    <t>SB-00018190</t>
  </si>
  <si>
    <t>SB-00018191</t>
  </si>
  <si>
    <t>SB-00018192</t>
  </si>
  <si>
    <t>SB-00018193</t>
  </si>
  <si>
    <t>SB-00017910</t>
  </si>
  <si>
    <t>SB-00018194</t>
  </si>
  <si>
    <t>SB-00018195</t>
  </si>
  <si>
    <t>SB-00018196</t>
  </si>
  <si>
    <t>SB-00018197</t>
  </si>
  <si>
    <t>SB-00018198</t>
  </si>
  <si>
    <t>SB-00018199</t>
  </si>
  <si>
    <t>SB-00018200</t>
  </si>
  <si>
    <t>SB-00018201</t>
  </si>
  <si>
    <t>SB-00018202</t>
  </si>
  <si>
    <t>SB-00018203</t>
  </si>
  <si>
    <t>SB-00018204</t>
  </si>
  <si>
    <t>SB-00018205</t>
  </si>
  <si>
    <t>SB-00018206</t>
  </si>
  <si>
    <t>SB-00018207</t>
  </si>
  <si>
    <t>SB-00018208</t>
  </si>
  <si>
    <t>SB-00018209</t>
  </si>
  <si>
    <t>SB-00018210</t>
  </si>
  <si>
    <t>SB-00018211</t>
  </si>
  <si>
    <t>SB-00018212</t>
  </si>
  <si>
    <t>SB-00018213</t>
  </si>
  <si>
    <t>SB-00018214</t>
  </si>
  <si>
    <t>SB-00018215</t>
  </si>
  <si>
    <t>SB-00018216</t>
  </si>
  <si>
    <t>SB-00018217</t>
  </si>
  <si>
    <t>SB-00018218</t>
  </si>
  <si>
    <t>SB-00018219</t>
  </si>
  <si>
    <t>SB-00018220</t>
  </si>
  <si>
    <t>SB-00018221</t>
  </si>
  <si>
    <t>SB-00018222</t>
  </si>
  <si>
    <t>SB-00018223</t>
  </si>
  <si>
    <t>SB-00018224</t>
  </si>
  <si>
    <t>SB-00018225</t>
  </si>
  <si>
    <t>SB-00018226</t>
  </si>
  <si>
    <t>SB-00018227</t>
  </si>
  <si>
    <t>SB-00018228</t>
  </si>
  <si>
    <t>DISK</t>
  </si>
  <si>
    <t>Стекло силикатное прозрачное (антиблик)</t>
  </si>
  <si>
    <t>Алюминиевый</t>
  </si>
  <si>
    <t>Подвес на трос за 1 точку</t>
  </si>
  <si>
    <t>250x250x174</t>
  </si>
  <si>
    <t>345x345x183</t>
  </si>
  <si>
    <t>SVT-Str-DIRECT-12W-Ex-120-tab</t>
  </si>
  <si>
    <t>Универсальный поворотный кронштейн (накладной монтад на првную поверхность)</t>
  </si>
  <si>
    <t>DIRECT-TAB-Ex</t>
  </si>
  <si>
    <t>308x60x288</t>
  </si>
  <si>
    <t xml:space="preserve">DIRECT светодиодное табло (Указатель). Маркировка - 2Ех nC IIC T6 Gc Х Ex tc IIIС T85°C Dc X
</t>
  </si>
  <si>
    <t>Матовый поликарбонат</t>
  </si>
  <si>
    <t>МАЙ 2022 V2</t>
  </si>
  <si>
    <t>SVT-P-DISK-80W-RB</t>
  </si>
  <si>
    <t>SVT-P-DISK-150W-RB</t>
  </si>
  <si>
    <t>SVT-P-DISK-160W-RB</t>
  </si>
  <si>
    <r>
      <t xml:space="preserve">Ввод в ассортимент:
1 - Новая серия промышленных светильников серии "DISK":
</t>
    </r>
    <r>
      <rPr>
        <sz val="14"/>
        <color theme="1"/>
        <rFont val="Calibri"/>
        <family val="2"/>
        <charset val="204"/>
        <scheme val="minor"/>
      </rPr>
      <t>«DISK» является аналогом традиционных светильников «ДСП».
Рассеиватель – силикатное прозрачное стекло 3 мм с антибликовым покрытием;
Мощность - 80 - 160 Вт;
Энергоэффективность - 130 лм/Вт;
Угол свечения 120 градусов;
Крепление - подвес на трос;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sz val="14"/>
        <color theme="1"/>
        <rFont val="Calibri"/>
        <family val="2"/>
        <charset val="204"/>
        <scheme val="minor"/>
      </rPr>
      <t xml:space="preserve">Защита от пыли и влаги - IP65;
</t>
    </r>
    <r>
      <rPr>
        <b/>
        <sz val="14"/>
        <color theme="1"/>
        <rFont val="Calibri"/>
        <family val="2"/>
        <charset val="204"/>
        <scheme val="minor"/>
      </rPr>
      <t xml:space="preserve">2 - Взрывозащищенное светодиодное табло (без пиктограммы)
2Ех nC IIC T6 Gc Х /   Ex tc IIIС T85°C Dc X
</t>
    </r>
    <r>
      <rPr>
        <sz val="14"/>
        <color theme="1"/>
        <rFont val="Calibri"/>
        <family val="2"/>
        <charset val="204"/>
        <scheme val="minor"/>
      </rPr>
      <t>Мощность - 12 Вт;
Крепление - накладное на ровную поверхность;
Защита от пыли и влаги - IP65;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sz val="14"/>
        <color theme="1"/>
        <rFont val="Calibri"/>
        <family val="2"/>
        <charset val="204"/>
        <scheme val="minor"/>
      </rPr>
      <t>Размер стандартной пиктограммы: 300x156мм.
По запросу:
- низковольтное исполнение (AC/DC 12 – 36 В);
- аварийное исполнение (блок аварийного питания на 1 – 3 часа).</t>
    </r>
  </si>
  <si>
    <t>SB-00018304</t>
  </si>
  <si>
    <t>SB-00018305</t>
  </si>
  <si>
    <t>SB-00018306</t>
  </si>
  <si>
    <t>SB-00018307</t>
  </si>
  <si>
    <t>SB-00018282</t>
  </si>
  <si>
    <t>380х210х30</t>
  </si>
  <si>
    <t>SVT-OFF-EM-6W-1h-IP65-настенный (Без пиктограммы)</t>
  </si>
  <si>
    <t>SVT-OFF-EM-6W-3h-IP65-настенный (Без пиктограммы)</t>
  </si>
  <si>
    <t>SB-00018335</t>
  </si>
  <si>
    <t>SB-00018336</t>
  </si>
  <si>
    <t>SVT-OFF-EM-3W-3h-универсальный (с пиктограммой)</t>
  </si>
  <si>
    <t>Подвесное/накладное (на L-образные крючки-шурупы)</t>
  </si>
  <si>
    <t>Архив</t>
  </si>
  <si>
    <t>ССЫЛКА</t>
  </si>
  <si>
    <t>МАЙ 2022 V3</t>
  </si>
  <si>
    <r>
      <t xml:space="preserve">1 - Снижение отпускных цен на продукцию до -20%
2 - Добавлен новый раздел "АРХИВ"
</t>
    </r>
    <r>
      <rPr>
        <sz val="14"/>
        <color theme="1"/>
        <rFont val="Calibri"/>
        <family val="2"/>
        <charset val="204"/>
        <scheme val="minor"/>
      </rPr>
      <t>В данной версии прайс-листа в "архив" попали светильники серии "Модуль PRO MeanWell".</t>
    </r>
    <r>
      <rPr>
        <b/>
        <sz val="14"/>
        <color theme="1"/>
        <rFont val="Calibri"/>
        <family val="2"/>
        <charset val="204"/>
        <scheme val="minor"/>
      </rPr>
      <t xml:space="preserve">
</t>
    </r>
    <r>
      <rPr>
        <b/>
        <sz val="14"/>
        <color rgb="FFC00000"/>
        <rFont val="Calibri"/>
        <family val="2"/>
        <charset val="204"/>
        <scheme val="minor"/>
      </rPr>
      <t>ВАЖНО!!! Все светильники в разделе "АРХИВ" доступны к заказу, цены по запросу.</t>
    </r>
  </si>
  <si>
    <t>SVT-STR-MPRO-80W-C</t>
  </si>
  <si>
    <t>-60°/+40° С</t>
  </si>
  <si>
    <t>SVT-STR-MPRO-80W</t>
  </si>
  <si>
    <t>ИЮНЬ 2022</t>
  </si>
  <si>
    <t>SVT-STR-MPRO-80W-C-FTR</t>
  </si>
  <si>
    <t>SB-00018440</t>
  </si>
  <si>
    <t>SB-00018439</t>
  </si>
  <si>
    <t>SB-00018441</t>
  </si>
  <si>
    <t>-15°/+40° С</t>
  </si>
  <si>
    <t>УХЛ 3.1</t>
  </si>
  <si>
    <t>SVT-ARM-Panel-RZ-595x595x18-34W-IP40-M</t>
  </si>
  <si>
    <t>SVT-ARM-Panel-RZ-1195x295x18-36W-IP40-M</t>
  </si>
  <si>
    <t>1195x295x18</t>
  </si>
  <si>
    <t>595x595x18</t>
  </si>
  <si>
    <t>Матовый полистирол (равномерная заливка)</t>
  </si>
  <si>
    <t>SB-00018443</t>
  </si>
  <si>
    <t>SB-00018444</t>
  </si>
  <si>
    <r>
      <t xml:space="preserve">Снижение отпускных цен на следующие серии светильников:
</t>
    </r>
    <r>
      <rPr>
        <sz val="14"/>
        <color theme="1"/>
        <rFont val="Calibri"/>
        <family val="2"/>
        <charset val="204"/>
        <scheme val="minor"/>
      </rPr>
      <t xml:space="preserve">DKU-CITY: от -2 до -7%;
P-DIRECT: от -15 до -20%;
M-CRI80: от -2 до -12%;
BM: до -13%;
P-UL: от -2 до -8%;
Ромашка High-Bay: от - 5 до - 12%
ARH-Direct: от - 13 до -17%;
ARH-Fort: от -6 до -50%;
ARH-Luch: от -3 до -13%;
OFF-DIRECT: от -10 до -24%;
</t>
    </r>
    <r>
      <rPr>
        <b/>
        <sz val="14"/>
        <color theme="1"/>
        <rFont val="Calibri"/>
        <family val="2"/>
        <charset val="204"/>
        <scheme val="minor"/>
      </rPr>
      <t xml:space="preserve">Ввод в ассортимент:
1 - </t>
    </r>
    <r>
      <rPr>
        <sz val="14"/>
        <color theme="1"/>
        <rFont val="Calibri"/>
        <family val="2"/>
        <charset val="204"/>
        <scheme val="minor"/>
      </rPr>
      <t xml:space="preserve">Светильники светодиодные SVT-STR-MPRO-80W (универсальное крепление) и SVT-STR-MPRO-80W-C (Консольное крепление) 
</t>
    </r>
    <r>
      <rPr>
        <b/>
        <sz val="14"/>
        <color theme="1"/>
        <rFont val="Calibri"/>
        <family val="2"/>
        <charset val="204"/>
        <scheme val="minor"/>
      </rPr>
      <t>Мощность</t>
    </r>
    <r>
      <rPr>
        <sz val="14"/>
        <color theme="1"/>
        <rFont val="Calibri"/>
        <family val="2"/>
        <charset val="204"/>
        <scheme val="minor"/>
      </rPr>
      <t xml:space="preserve"> - 80 Вт;
</t>
    </r>
    <r>
      <rPr>
        <b/>
        <sz val="14"/>
        <color theme="1"/>
        <rFont val="Calibri"/>
        <family val="2"/>
        <charset val="204"/>
        <scheme val="minor"/>
      </rPr>
      <t>Энергоэффективность</t>
    </r>
    <r>
      <rPr>
        <sz val="14"/>
        <color theme="1"/>
        <rFont val="Calibri"/>
        <family val="2"/>
        <charset val="204"/>
        <scheme val="minor"/>
      </rPr>
      <t xml:space="preserve"> - 164 лм/Вт;
</t>
    </r>
    <r>
      <rPr>
        <b/>
        <sz val="14"/>
        <color theme="1"/>
        <rFont val="Calibri"/>
        <family val="2"/>
        <charset val="204"/>
        <scheme val="minor"/>
      </rPr>
      <t>Угол свечения</t>
    </r>
    <r>
      <rPr>
        <sz val="14"/>
        <color theme="1"/>
        <rFont val="Calibri"/>
        <family val="2"/>
        <charset val="204"/>
        <scheme val="minor"/>
      </rPr>
      <t xml:space="preserve"> - 120 градусов;
</t>
    </r>
    <r>
      <rPr>
        <b/>
        <sz val="14"/>
        <color theme="1"/>
        <rFont val="Calibri"/>
        <family val="2"/>
        <charset val="204"/>
        <scheme val="minor"/>
      </rPr>
      <t>Защита от пыли и влаги</t>
    </r>
    <r>
      <rPr>
        <sz val="14"/>
        <color theme="1"/>
        <rFont val="Calibri"/>
        <family val="2"/>
        <charset val="204"/>
        <scheme val="minor"/>
      </rPr>
      <t xml:space="preserve"> - IP67;
</t>
    </r>
    <r>
      <rPr>
        <b/>
        <sz val="14"/>
        <color theme="1"/>
        <rFont val="Calibri"/>
        <family val="2"/>
        <charset val="204"/>
        <scheme val="minor"/>
      </rPr>
      <t>Климатическое исполнение</t>
    </r>
    <r>
      <rPr>
        <sz val="14"/>
        <color theme="1"/>
        <rFont val="Calibri"/>
        <family val="2"/>
        <charset val="204"/>
        <scheme val="minor"/>
      </rPr>
      <t xml:space="preserve"> - У1;
</t>
    </r>
    <r>
      <rPr>
        <b/>
        <sz val="14"/>
        <color theme="1"/>
        <rFont val="Calibri"/>
        <family val="2"/>
        <charset val="204"/>
        <scheme val="minor"/>
      </rPr>
      <t>Рабочая температура окр. среды</t>
    </r>
    <r>
      <rPr>
        <sz val="14"/>
        <color theme="1"/>
        <rFont val="Calibri"/>
        <family val="2"/>
        <charset val="204"/>
        <scheme val="minor"/>
      </rPr>
      <t xml:space="preserve">  - -40°/+40° С.
</t>
    </r>
    <r>
      <rPr>
        <b/>
        <sz val="14"/>
        <color theme="1"/>
        <rFont val="Calibri"/>
        <family val="2"/>
        <charset val="204"/>
        <scheme val="minor"/>
      </rPr>
      <t>2</t>
    </r>
    <r>
      <rPr>
        <sz val="14"/>
        <color theme="1"/>
        <rFont val="Calibri"/>
        <family val="2"/>
        <charset val="204"/>
        <scheme val="minor"/>
      </rPr>
      <t xml:space="preserve"> - Светильники светодиодные SVT-STR-MPRO-80W-FTR (универсальное крепление) и SVT-STR-MPRO-80W-C-FTR (Консольное крепление) 
</t>
    </r>
    <r>
      <rPr>
        <b/>
        <sz val="14"/>
        <color theme="1"/>
        <rFont val="Calibri"/>
        <family val="2"/>
        <charset val="204"/>
        <scheme val="minor"/>
      </rPr>
      <t>Мощность</t>
    </r>
    <r>
      <rPr>
        <sz val="14"/>
        <color theme="1"/>
        <rFont val="Calibri"/>
        <family val="2"/>
        <charset val="204"/>
        <scheme val="minor"/>
      </rPr>
      <t xml:space="preserve"> - 80 Вт;
</t>
    </r>
    <r>
      <rPr>
        <b/>
        <sz val="14"/>
        <color theme="1"/>
        <rFont val="Calibri"/>
        <family val="2"/>
        <charset val="204"/>
        <scheme val="minor"/>
      </rPr>
      <t>Энергоэффективность</t>
    </r>
    <r>
      <rPr>
        <sz val="14"/>
        <color theme="1"/>
        <rFont val="Calibri"/>
        <family val="2"/>
        <charset val="204"/>
        <scheme val="minor"/>
      </rPr>
      <t xml:space="preserve"> - 164 лм/Вт;
</t>
    </r>
    <r>
      <rPr>
        <b/>
        <sz val="14"/>
        <color theme="1"/>
        <rFont val="Calibri"/>
        <family val="2"/>
        <charset val="204"/>
        <scheme val="minor"/>
      </rPr>
      <t>Угол свечения</t>
    </r>
    <r>
      <rPr>
        <sz val="14"/>
        <color theme="1"/>
        <rFont val="Calibri"/>
        <family val="2"/>
        <charset val="204"/>
        <scheme val="minor"/>
      </rPr>
      <t xml:space="preserve"> - 120 градусов;
</t>
    </r>
    <r>
      <rPr>
        <b/>
        <sz val="14"/>
        <color theme="1"/>
        <rFont val="Calibri"/>
        <family val="2"/>
        <charset val="204"/>
        <scheme val="minor"/>
      </rPr>
      <t>Защита от пыли и влаги</t>
    </r>
    <r>
      <rPr>
        <sz val="14"/>
        <color theme="1"/>
        <rFont val="Calibri"/>
        <family val="2"/>
        <charset val="204"/>
        <scheme val="minor"/>
      </rPr>
      <t xml:space="preserve"> - IP67;
</t>
    </r>
    <r>
      <rPr>
        <b/>
        <sz val="14"/>
        <color theme="1"/>
        <rFont val="Calibri"/>
        <family val="2"/>
        <charset val="204"/>
        <scheme val="minor"/>
      </rPr>
      <t>Климатическое исполнение</t>
    </r>
    <r>
      <rPr>
        <sz val="14"/>
        <color theme="1"/>
        <rFont val="Calibri"/>
        <family val="2"/>
        <charset val="204"/>
        <scheme val="minor"/>
      </rPr>
      <t xml:space="preserve"> - УХЛ1;
</t>
    </r>
    <r>
      <rPr>
        <b/>
        <sz val="14"/>
        <color theme="1"/>
        <rFont val="Calibri"/>
        <family val="2"/>
        <charset val="204"/>
        <scheme val="minor"/>
      </rPr>
      <t>Рабочая температура окр. среды</t>
    </r>
    <r>
      <rPr>
        <sz val="14"/>
        <color theme="1"/>
        <rFont val="Calibri"/>
        <family val="2"/>
        <charset val="204"/>
        <scheme val="minor"/>
      </rPr>
      <t xml:space="preserve">  - -60°/+40° С.</t>
    </r>
  </si>
  <si>
    <t>SVT-OFF-EM-12W-3h-IP65-настенный (Без пиктограммы)</t>
  </si>
  <si>
    <t>SB-00018549</t>
  </si>
  <si>
    <t>ИЮЛЬ 2022</t>
  </si>
  <si>
    <t xml:space="preserve">Постоянно включена. Аварийный режим работы: 3 часа, 50% яркости. </t>
  </si>
  <si>
    <r>
      <t xml:space="preserve">Ввод в ассортимент:
1 - </t>
    </r>
    <r>
      <rPr>
        <sz val="14"/>
        <color theme="1"/>
        <rFont val="Calibri"/>
        <family val="2"/>
        <charset val="204"/>
        <scheme val="minor"/>
      </rPr>
      <t>Аварийный указатель SVT-OFF-EM-12W-3h-IP65-настенный (Без пиктограммы)
Мощность 12 Вт;
Степень заиты от пыли и влаги: IP65;
Время в аварийном режиме - 3 часа (50 % яркости).</t>
    </r>
  </si>
  <si>
    <t xml:space="preserve">SVT-ARM-U-AIR-595x595x34-31W-IP54-PR </t>
  </si>
  <si>
    <t>SVT-ARM-U-AIR-595x595x34-31W-IP54-M</t>
  </si>
  <si>
    <t>SVT-ARM-U-AIR-595x595x34-36W-IP54-PR</t>
  </si>
  <si>
    <t>SVT-ARM-U-AIR-595x595x34-36W-IP54-M</t>
  </si>
  <si>
    <t>SVT-P-I-1200-31W-M</t>
  </si>
  <si>
    <t>Lumileds</t>
  </si>
  <si>
    <t>SB-00018785</t>
  </si>
  <si>
    <t>SB-00018781</t>
  </si>
  <si>
    <t>SB-00018784</t>
  </si>
  <si>
    <t>SB-00018783</t>
  </si>
  <si>
    <t>SB-00018782</t>
  </si>
  <si>
    <t>ИЮЛЬ 2022 V2</t>
  </si>
  <si>
    <r>
      <t xml:space="preserve">1 - Снижены цены на следующие светильники:
</t>
    </r>
    <r>
      <rPr>
        <sz val="14"/>
        <color theme="1"/>
        <rFont val="Calibri"/>
        <family val="2"/>
        <charset val="204"/>
        <scheme val="minor"/>
      </rPr>
      <t xml:space="preserve">SVT-STR-MPRO-48W
SVT-STR-MPRO-61W 
SVT-STR-MPRO-96W 
+ на версии DUO / TRIO / QUATTRO
</t>
    </r>
    <r>
      <rPr>
        <b/>
        <sz val="14"/>
        <color rgb="FFC00000"/>
        <rFont val="Calibri"/>
        <family val="2"/>
        <charset val="204"/>
        <scheme val="minor"/>
      </rPr>
      <t>Лучшая цена!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b/>
        <sz val="14"/>
        <color theme="1"/>
        <rFont val="Calibri"/>
        <family val="2"/>
        <charset val="204"/>
        <scheme val="minor"/>
      </rPr>
      <t>2 - Снижены цены на промышленный светильник серии Айсберг:</t>
    </r>
    <r>
      <rPr>
        <sz val="14"/>
        <color theme="1"/>
        <rFont val="Calibri"/>
        <family val="2"/>
        <charset val="204"/>
        <scheme val="minor"/>
      </rPr>
      <t xml:space="preserve">
SVT-P-I-1200-36W-M
так же на светильник SVT-P-I-1200-36W-M расширена гарантия - 5 лет
</t>
    </r>
    <r>
      <rPr>
        <b/>
        <sz val="14"/>
        <color rgb="FFC00000"/>
        <rFont val="Calibri"/>
        <family val="2"/>
        <charset val="204"/>
        <scheme val="minor"/>
      </rPr>
      <t>Лучшая цена!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b/>
        <sz val="14"/>
        <color theme="1"/>
        <rFont val="Calibri"/>
        <family val="2"/>
        <charset val="204"/>
        <scheme val="minor"/>
      </rPr>
      <t xml:space="preserve">Ввод в ассортимент:
</t>
    </r>
    <r>
      <rPr>
        <b/>
        <sz val="14"/>
        <color theme="4" tint="-0.249977111117893"/>
        <rFont val="Calibri"/>
        <family val="2"/>
        <charset val="204"/>
        <scheme val="minor"/>
      </rPr>
      <t>1 -</t>
    </r>
    <r>
      <rPr>
        <b/>
        <sz val="14"/>
        <color theme="1"/>
        <rFont val="Calibri"/>
        <family val="2"/>
        <charset val="204"/>
        <scheme val="minor"/>
      </rPr>
      <t xml:space="preserve"> </t>
    </r>
    <r>
      <rPr>
        <sz val="14"/>
        <color theme="1"/>
        <rFont val="Calibri"/>
        <family val="2"/>
        <charset val="204"/>
        <scheme val="minor"/>
      </rPr>
      <t xml:space="preserve">промышленный светильник серии Айсберг, арт: SVT-P-I-1200-31W-M
Мощность - 31 Вт;
Поток - 3600 лм;
Эффективность - 116 лм/Вт;
Рассеиватель - Матовый;
Степень защиты - IP65
Гарантия - 5 лет.
</t>
    </r>
    <r>
      <rPr>
        <b/>
        <sz val="14"/>
        <color rgb="FFC00000"/>
        <rFont val="Calibri"/>
        <family val="2"/>
        <charset val="204"/>
        <scheme val="minor"/>
      </rPr>
      <t>Лучшая цена!</t>
    </r>
    <r>
      <rPr>
        <sz val="14"/>
        <color theme="1"/>
        <rFont val="Calibri"/>
        <family val="2"/>
        <charset val="204"/>
        <scheme val="minor"/>
      </rPr>
      <t xml:space="preserve">
</t>
    </r>
    <r>
      <rPr>
        <b/>
        <sz val="14"/>
        <color theme="4" tint="-0.249977111117893"/>
        <rFont val="Calibri"/>
        <family val="2"/>
        <charset val="204"/>
        <scheme val="minor"/>
      </rPr>
      <t>2 -</t>
    </r>
    <r>
      <rPr>
        <sz val="14"/>
        <color theme="1"/>
        <rFont val="Calibri"/>
        <family val="2"/>
        <charset val="204"/>
        <scheme val="minor"/>
      </rPr>
      <t xml:space="preserve"> светильник универсальный 595*595*34 мм в пластиковом корпусе серии ARM-U-AIR
Арт. SVT-ARM-U-AIR-595x595x34-31W-IP54-PR(-М)
Мощность - 31 Вт;
Поток - 4030 / 3600 лм;
Эффективность - 130 / 116 лм/Вт;
Рассеиватель - призматический / матовый;
Степень защиты - IP54
Гарантия - 5 лет.
</t>
    </r>
    <r>
      <rPr>
        <b/>
        <sz val="14"/>
        <color rgb="FFC00000"/>
        <rFont val="Calibri"/>
        <family val="2"/>
        <charset val="204"/>
        <scheme val="minor"/>
      </rPr>
      <t xml:space="preserve">Лучшая цена!
</t>
    </r>
    <r>
      <rPr>
        <b/>
        <sz val="14"/>
        <color theme="4" tint="-0.249977111117893"/>
        <rFont val="Calibri"/>
        <family val="2"/>
        <charset val="204"/>
        <scheme val="minor"/>
      </rPr>
      <t>3 -</t>
    </r>
    <r>
      <rPr>
        <sz val="14"/>
        <rFont val="Calibri"/>
        <family val="2"/>
        <charset val="204"/>
        <scheme val="minor"/>
      </rPr>
      <t xml:space="preserve"> светильник универсальный 595*595*34 мм в пластиковом корпусе серии ARM-U-AIR
Арт. SVT-ARM-U-AIR-595x595x34-36W-IP54-PR(-M)
Мощность - 36 Вт;
Поток - 4680 / 4180лм;
Эффективность - 130 / 116 лм/Вт;
Рассеиватель - призматический / матовый;
Степень защиты - IP54
Гарантия - 5 лет.
</t>
    </r>
    <r>
      <rPr>
        <b/>
        <sz val="14"/>
        <color rgb="FFC00000"/>
        <rFont val="Calibri"/>
        <family val="2"/>
        <charset val="204"/>
        <scheme val="minor"/>
      </rPr>
      <t>Лучшая цена!</t>
    </r>
    <r>
      <rPr>
        <sz val="14"/>
        <rFont val="Calibri"/>
        <family val="2"/>
        <charset val="204"/>
        <scheme val="minor"/>
      </rPr>
      <t xml:space="preserve">
</t>
    </r>
  </si>
  <si>
    <t>TAB</t>
  </si>
  <si>
    <t>SVT-STR-Direct-d-20W</t>
  </si>
  <si>
    <t>SB-00017976</t>
  </si>
  <si>
    <t>SVT-STR-Direct-ul-20W-1200</t>
  </si>
  <si>
    <t>1206х63х68</t>
  </si>
  <si>
    <t>SB-00018005</t>
  </si>
  <si>
    <t>356x63x68</t>
  </si>
  <si>
    <t>SVT-STR-MPRO-61W-DUO-C</t>
  </si>
  <si>
    <t>SVT-STR-MPRO-48W-DUO-C</t>
  </si>
  <si>
    <t>SVT-STR-MPRO-96W-DUO-C</t>
  </si>
  <si>
    <r>
      <rPr>
        <b/>
        <sz val="14"/>
        <color theme="1"/>
        <rFont val="Calibri"/>
        <family val="2"/>
        <charset val="204"/>
        <scheme val="minor"/>
      </rPr>
      <t xml:space="preserve">1 - </t>
    </r>
    <r>
      <rPr>
        <sz val="14"/>
        <color theme="1"/>
        <rFont val="Calibri"/>
        <family val="2"/>
        <charset val="204"/>
        <scheme val="minor"/>
      </rPr>
      <t xml:space="preserve">Снижены цены на светильники серии "Модуль CRI80"
</t>
    </r>
    <r>
      <rPr>
        <b/>
        <sz val="14"/>
        <color theme="1"/>
        <rFont val="Calibri"/>
        <family val="2"/>
        <charset val="204"/>
        <scheme val="minor"/>
      </rPr>
      <t>2 -</t>
    </r>
    <r>
      <rPr>
        <sz val="14"/>
        <color theme="1"/>
        <rFont val="Calibri"/>
        <family val="2"/>
        <charset val="204"/>
        <scheme val="minor"/>
      </rPr>
      <t xml:space="preserve"> Сняты с производства промышленные линейные светильники серии UL, в том числе и низковольтное исполнение (светильники доступны к заказу, посмотреть технические данные можно на сайте или в прайс-листе в разделе "АРХИВ") 
</t>
    </r>
    <r>
      <rPr>
        <b/>
        <sz val="14"/>
        <color theme="1"/>
        <rFont val="Calibri"/>
        <family val="2"/>
        <charset val="204"/>
        <scheme val="minor"/>
      </rPr>
      <t>3 -</t>
    </r>
    <r>
      <rPr>
        <sz val="14"/>
        <color theme="1"/>
        <rFont val="Calibri"/>
        <family val="2"/>
        <charset val="204"/>
        <scheme val="minor"/>
      </rPr>
      <t xml:space="preserve"> Снаяты с производства архитектурные светильники серии "ARH-Tube"</t>
    </r>
  </si>
  <si>
    <t>АВГУСТ 2022</t>
  </si>
  <si>
    <t>Накладное на специальные скобы</t>
  </si>
  <si>
    <t>5лет</t>
  </si>
  <si>
    <t>SVT-STR-MPRO-120W</t>
  </si>
  <si>
    <t>SVT-STR-MPRO-120W-C</t>
  </si>
  <si>
    <t>SVT-STR-MPRO-120W-DUO</t>
  </si>
  <si>
    <t>SVT-STR-MPRO-120W-DUO-C</t>
  </si>
  <si>
    <t>SVT-STR-MPRO-120W-TRIO</t>
  </si>
  <si>
    <t>SVT-STR-MPRO-120W-TRIO-C</t>
  </si>
  <si>
    <t>SVT-STR-MPRO-120W-QUATTRO</t>
  </si>
  <si>
    <t>CЕНТЯБРЬ 2022</t>
  </si>
  <si>
    <t>SB-00019130</t>
  </si>
  <si>
    <t>SB-00019131</t>
  </si>
  <si>
    <t>SB-00019132</t>
  </si>
  <si>
    <t>SB-00019133</t>
  </si>
  <si>
    <t>SB-00019134</t>
  </si>
  <si>
    <t>SB-00019135</t>
  </si>
  <si>
    <t>SB-00019136</t>
  </si>
  <si>
    <t>SB-00019102</t>
  </si>
  <si>
    <t>SB-00018023</t>
  </si>
  <si>
    <t>SB-00008719</t>
  </si>
  <si>
    <r>
      <rPr>
        <b/>
        <sz val="14"/>
        <color theme="1"/>
        <rFont val="Calibri"/>
        <family val="2"/>
        <charset val="204"/>
        <scheme val="minor"/>
      </rPr>
      <t>1 - Ввод в ассортимент</t>
    </r>
    <r>
      <rPr>
        <sz val="14"/>
        <color theme="1"/>
        <rFont val="Calibri"/>
        <family val="2"/>
        <charset val="204"/>
        <scheme val="minor"/>
      </rPr>
      <t xml:space="preserve"> модуля на 120W для серии MPRO и MPRO DUO / TRIO / QUATTRO     </t>
    </r>
    <r>
      <rPr>
        <b/>
        <sz val="14"/>
        <color theme="1"/>
        <rFont val="Calibri"/>
        <family val="2"/>
        <charset val="204"/>
        <scheme val="minor"/>
      </rPr>
      <t xml:space="preserve">2 - </t>
    </r>
    <r>
      <rPr>
        <b/>
        <sz val="14"/>
        <color rgb="FFFF0000"/>
        <rFont val="Calibri"/>
        <family val="2"/>
        <charset val="204"/>
        <scheme val="minor"/>
      </rPr>
      <t xml:space="preserve">Специальное ценовое предложение </t>
    </r>
    <r>
      <rPr>
        <sz val="14"/>
        <rFont val="Calibri"/>
        <family val="2"/>
        <charset val="204"/>
        <scheme val="minor"/>
      </rPr>
      <t>теперь действует на всю линейку</t>
    </r>
    <r>
      <rPr>
        <sz val="14"/>
        <color rgb="FFFF0000"/>
        <rFont val="Calibri"/>
        <family val="2"/>
        <charset val="204"/>
        <scheme val="minor"/>
      </rPr>
      <t xml:space="preserve"> </t>
    </r>
    <r>
      <rPr>
        <sz val="14"/>
        <rFont val="Calibri"/>
        <family val="2"/>
        <charset val="204"/>
        <scheme val="minor"/>
      </rPr>
      <t>серий</t>
    </r>
    <r>
      <rPr>
        <sz val="14"/>
        <color theme="1"/>
        <rFont val="Calibri"/>
        <family val="2"/>
        <charset val="204"/>
        <scheme val="minor"/>
      </rPr>
      <t xml:space="preserve"> MRO, MPRO DUO / TRIO / QUATTRO и MRPO MAX.                                                                                                                                          </t>
    </r>
    <r>
      <rPr>
        <b/>
        <sz val="14"/>
        <color theme="1"/>
        <rFont val="Calibri"/>
        <family val="2"/>
        <charset val="204"/>
        <scheme val="minor"/>
      </rPr>
      <t>3 -</t>
    </r>
    <r>
      <rPr>
        <sz val="14"/>
        <color theme="1"/>
        <rFont val="Calibri"/>
        <family val="2"/>
        <charset val="204"/>
        <scheme val="minor"/>
      </rPr>
      <t xml:space="preserve"> </t>
    </r>
    <r>
      <rPr>
        <b/>
        <sz val="14"/>
        <color theme="1"/>
        <rFont val="Calibri"/>
        <family val="2"/>
        <charset val="204"/>
        <scheme val="minor"/>
      </rPr>
      <t>Увеличена гарантия</t>
    </r>
    <r>
      <rPr>
        <sz val="14"/>
        <color theme="1"/>
        <rFont val="Calibri"/>
        <family val="2"/>
        <charset val="204"/>
        <scheme val="minor"/>
      </rPr>
      <t xml:space="preserve"> на серию MRPO MAX с 3</t>
    </r>
    <r>
      <rPr>
        <b/>
        <sz val="14"/>
        <color theme="1"/>
        <rFont val="Calibri"/>
        <family val="2"/>
        <charset val="204"/>
        <scheme val="minor"/>
      </rPr>
      <t xml:space="preserve"> до 5 лет!</t>
    </r>
  </si>
  <si>
    <t>636х97х145</t>
  </si>
  <si>
    <t>636х97х134</t>
  </si>
  <si>
    <t>636х210х291</t>
  </si>
  <si>
    <t>636х256х90</t>
  </si>
  <si>
    <t>636х320х291</t>
  </si>
  <si>
    <t>636х320х134</t>
  </si>
  <si>
    <t>636х430х291</t>
  </si>
  <si>
    <t>-60/+40С</t>
  </si>
  <si>
    <t>SVT-P-FLOWER-MPRO-96W (32Wx3) трос</t>
  </si>
  <si>
    <t>SVT-P-FLOWER-MPRO-192W (32Wx6) трос</t>
  </si>
  <si>
    <t>SVT-P-FLOWER-MPRO-144W (48Wx3) трос</t>
  </si>
  <si>
    <t>SVT-P-FLOWER-MPRO-192W (48Wx4) трос</t>
  </si>
  <si>
    <t>SVT-P-FLOWER-MPRO-288W (48Wx6) трос</t>
  </si>
  <si>
    <t>SVT-P-FLOWER-MPRO-183W (61Wx3) трос</t>
  </si>
  <si>
    <t>SVT-P-FLOWER-MPRO-244W (61Wx4) трос</t>
  </si>
  <si>
    <t>SVT-P-FLOWER-MPRO-81W-35 (27Wx3) трос</t>
  </si>
  <si>
    <t>SVT-P-FLOWER-MPRO-81W-65 (27Wx3) трос</t>
  </si>
  <si>
    <t>SVT-P-FLOWER-MPRO-108W-35 (27Wx4) трос</t>
  </si>
  <si>
    <t>SVT-P-FLOWER-MPRO-108W-65 (27Wx4) трос</t>
  </si>
  <si>
    <t>SVT-P-FLOWER-MPRO-162W-35 (27Wx6) трос</t>
  </si>
  <si>
    <t>SVT-P-FLOWER-MPRO-162W-65 (27Wx6) трос</t>
  </si>
  <si>
    <t>SVT-P-FLOWER-MPRO-159W-35 (53Wx3) трос</t>
  </si>
  <si>
    <t>SVT-P-FLOWER-MPRO-159W-65 (53Wx3) трос</t>
  </si>
  <si>
    <t>SVT-P-FLOWER-MPRO-212W-35 (53Wx4) трос</t>
  </si>
  <si>
    <t>SVT-P-FLOWER-MPRO-212W-65 (53Wx4) трос</t>
  </si>
  <si>
    <t>SVT-P-FLOWER-MPRO-128W (32Wx4)  трос</t>
  </si>
  <si>
    <t>SVT-P-FLOWER-MPRO-366W(61Wx6) трос</t>
  </si>
  <si>
    <t>Д, 35</t>
  </si>
  <si>
    <t>Д, 65</t>
  </si>
  <si>
    <t>640x640x205</t>
  </si>
  <si>
    <t>640x640x214</t>
  </si>
  <si>
    <t>640x640x215</t>
  </si>
  <si>
    <t>740x740x205</t>
  </si>
  <si>
    <t>840x840x205</t>
  </si>
  <si>
    <t>1040x1040x205</t>
  </si>
  <si>
    <t>Samsung LM281B+ 5*84 шт</t>
  </si>
  <si>
    <t>SB-00019243</t>
  </si>
  <si>
    <t>SB-00019239</t>
  </si>
  <si>
    <t>SB-00019242</t>
  </si>
  <si>
    <t>SB-00019241</t>
  </si>
  <si>
    <t>SB-00019240</t>
  </si>
  <si>
    <t>SB-00019238</t>
  </si>
  <si>
    <t>SB-00019237</t>
  </si>
  <si>
    <t>SB-00019236</t>
  </si>
  <si>
    <t>SB-00019235</t>
  </si>
  <si>
    <t>SB-00019234</t>
  </si>
  <si>
    <t>SB-00019233</t>
  </si>
  <si>
    <t>SB-00019232</t>
  </si>
  <si>
    <t>SB-00019231</t>
  </si>
  <si>
    <t>SB-00019230</t>
  </si>
  <si>
    <t>SB-00019229</t>
  </si>
  <si>
    <t>SB-00019228</t>
  </si>
  <si>
    <t>SB-00019227</t>
  </si>
  <si>
    <t>SB-00019226</t>
  </si>
  <si>
    <t>SB-00019225</t>
  </si>
  <si>
    <t>SB-00019224</t>
  </si>
  <si>
    <t>SB-00019223</t>
  </si>
  <si>
    <r>
      <rPr>
        <b/>
        <sz val="14"/>
        <color theme="1"/>
        <rFont val="Calibri"/>
        <family val="2"/>
        <charset val="204"/>
        <scheme val="minor"/>
      </rPr>
      <t>1.</t>
    </r>
    <r>
      <rPr>
        <sz val="14"/>
        <color theme="1"/>
        <rFont val="Calibri"/>
        <family val="2"/>
        <charset val="204"/>
        <scheme val="minor"/>
      </rPr>
      <t xml:space="preserve"> Вывод из ассортимента светильников "Ромашка" на серии "Модуль".                                         </t>
    </r>
    <r>
      <rPr>
        <b/>
        <sz val="14"/>
        <color theme="1"/>
        <rFont val="Calibri"/>
        <family val="2"/>
        <charset val="204"/>
        <scheme val="minor"/>
      </rPr>
      <t xml:space="preserve">2. Ввод в ассортимент светильников "Ромашка" на модуле "MPRO".    </t>
    </r>
    <r>
      <rPr>
        <sz val="14"/>
        <color theme="1"/>
        <rFont val="Calibri"/>
        <family val="2"/>
        <charset val="204"/>
        <scheme val="minor"/>
      </rPr>
      <t xml:space="preserve">                                             </t>
    </r>
    <r>
      <rPr>
        <b/>
        <sz val="14"/>
        <color rgb="FFFF0000"/>
        <rFont val="Calibri"/>
        <family val="2"/>
        <charset val="204"/>
        <scheme val="minor"/>
      </rPr>
      <t xml:space="preserve">Цена - выгоднее!   </t>
    </r>
    <r>
      <rPr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Светильники модуль PRO - современнее и технически лучше!                                           </t>
    </r>
  </si>
  <si>
    <t>SVT-P-FLOWER-MPRO-318W-35 (53Wx6) трос</t>
  </si>
  <si>
    <t>SVT-P-FLOWER-MPRO-318W-65 (53Wx6) трос</t>
  </si>
  <si>
    <t>SVT-STR-MPRO-48W-TRIO</t>
  </si>
  <si>
    <t>SB-00010685</t>
  </si>
  <si>
    <t>SVT-STR-MPRO-48W-TRIO-C</t>
  </si>
  <si>
    <t>SB-00018959</t>
  </si>
  <si>
    <t>Д, 121</t>
  </si>
  <si>
    <t>СПЕЦИАЛЬНОЕ ОСВЕЩЕНИЕ</t>
  </si>
  <si>
    <t>УЛИЧНОЕ И ПРОМЫШЛЕННОЕ ОСВЕЩЕНИЕ</t>
  </si>
  <si>
    <t>АРХИТЕКТУРНОЕ И САДОВО-ПАРКОВОЕ ОСВЕЩЕНИЕ</t>
  </si>
  <si>
    <t>Модули с оптикой</t>
  </si>
  <si>
    <t>СВЕТИЛЬНИКИ ОФИСНЫЕ, ДЛЯ РИТЕЙЛА И ШКОЛЬНЫХ УЧРЕЖДЕНИЙ</t>
  </si>
  <si>
    <t>Даунлайт ↓</t>
  </si>
  <si>
    <t>Светильники "Армстронг","Грильято", "Реечный потолок", "Clip-in". ↓</t>
  </si>
  <si>
    <t>Садово-парковые светильники ↓</t>
  </si>
  <si>
    <t>BOLID - мощные прожекторы со сменными светодиодными модулями (кассетами). ↓</t>
  </si>
  <si>
    <t>Прожекторы для ТВ трансляций (5700K, CRI80/90+). С необходимым индексом цветопередачи. ↓</t>
  </si>
  <si>
    <t>Низковольтные светильники. Напряжение 12/24/36/48 В переменного или постоянного тока. ↓</t>
  </si>
  <si>
    <t>Светильники для АЗС. Рамка изготавливается в размер. ↓</t>
  </si>
  <si>
    <t>Светильники для пожаробезопасных зон (П-I, П-II, П-IIа). ↓</t>
  </si>
  <si>
    <t>Взрывозащищенные светильники (2Ex). ↓</t>
  </si>
  <si>
    <t>EXTREME - мощные прожекторы, работающие при экстремальных температурах (-60 +75° С). ↓</t>
  </si>
  <si>
    <t>СВЕТИЛЬНИКИ ФИТО ДЛЯ ЖИЛИЩНО-КОМУНАЛЬНЫХ ХОЗЯЙСТВ, УКАЗАТЕЛИ</t>
  </si>
  <si>
    <t>КРЕПЕЖ</t>
  </si>
  <si>
    <t>Фитосветильники универсальные ↓</t>
  </si>
  <si>
    <t>Крепеж ↓</t>
  </si>
  <si>
    <t>Промышленные светильники "Желудь". ↓</t>
  </si>
  <si>
    <t>Светильники для медицинских учреждений</t>
  </si>
  <si>
    <t>Аварийные светильники (с БАП). ↓</t>
  </si>
  <si>
    <t>RTL. Бюджетные светильники для ритейла ↓</t>
  </si>
  <si>
    <t>Светильники для школьных учреждений ↓</t>
  </si>
  <si>
    <t>ДЕЛАЕМ СВЕТ!</t>
  </si>
  <si>
    <t>zakaz@gcsvt.ru</t>
  </si>
  <si>
    <t>8 800 201-16-03</t>
  </si>
  <si>
    <t>Модуль без оптики</t>
  </si>
  <si>
    <t xml:space="preserve">SVT-P-DIRECT-300-12W </t>
  </si>
  <si>
    <t xml:space="preserve">SVT-P-DIRECT-300-24W </t>
  </si>
  <si>
    <t xml:space="preserve">SVT-P-DIRECT-600-24W </t>
  </si>
  <si>
    <t xml:space="preserve">SVT-P-DIRECT-600-48W </t>
  </si>
  <si>
    <t xml:space="preserve">SVT-P-DIRECT-750-32W </t>
  </si>
  <si>
    <t xml:space="preserve">SVT-P-DIRECT-750-64W </t>
  </si>
  <si>
    <t xml:space="preserve">SVT-P-DIRECT-900-36W </t>
  </si>
  <si>
    <t xml:space="preserve">SVT-P-DIRECT-1200-48W </t>
  </si>
  <si>
    <t xml:space="preserve">SVT-P-DIRECT-1200-96W </t>
  </si>
  <si>
    <t xml:space="preserve">SVT-P-DIRECT-1500-64W </t>
  </si>
  <si>
    <t xml:space="preserve">SVT-P-DIRECT-1500-128W </t>
  </si>
  <si>
    <t>SVT-ARH-Direct-150-6W-120</t>
  </si>
  <si>
    <t>SVT-ARH-Direct-150-6W-15</t>
  </si>
  <si>
    <t>SVT-ARH-Direct-150-6W-25</t>
  </si>
  <si>
    <t>SVT-ARH-Direct-150-6W-45</t>
  </si>
  <si>
    <t>Д.120</t>
  </si>
  <si>
    <t>SVT-ARH-Direct-300-12W-120</t>
  </si>
  <si>
    <t xml:space="preserve">SVT-ARH-Direct-150-6W-8 </t>
  </si>
  <si>
    <t>SVT-ARH-Direct-300-12W-8</t>
  </si>
  <si>
    <t>SVT-ARH-Direct-300-12W-15</t>
  </si>
  <si>
    <t>SVT-ARH-Direct-300-12W-25</t>
  </si>
  <si>
    <t>SVT-ARH-Direct-300-12W-45</t>
  </si>
  <si>
    <t>SVT-ARH-Direct-450-19W-120</t>
  </si>
  <si>
    <t>SVT-ARH-Direct-450-19W-8</t>
  </si>
  <si>
    <t>SVT-ARH-Direct-450-19W-15</t>
  </si>
  <si>
    <t>SVT-ARH-Direct-450-19W-25</t>
  </si>
  <si>
    <t>SVT-ARH-Direct-450-19W-45</t>
  </si>
  <si>
    <t>SVT-ARH-Direct-600-25W-120</t>
  </si>
  <si>
    <t>SVT-ARH-Direct-600-25W-8</t>
  </si>
  <si>
    <t>SVT-ARH-Direct-600-25W-15</t>
  </si>
  <si>
    <t>SVT-ARH-Direct-600-25W-25</t>
  </si>
  <si>
    <t>SVT-ARH-Direct-600-25W-45</t>
  </si>
  <si>
    <t>SVT-ARH-Direct-750-31W-120</t>
  </si>
  <si>
    <t>SVT-ARH-Direct-750-31W-8</t>
  </si>
  <si>
    <t>SVT-ARH-Direct-750-31W-15</t>
  </si>
  <si>
    <t>SVT-ARH-Direct-750-31W-25</t>
  </si>
  <si>
    <t>SVT-ARH-Direct-750-31W-45</t>
  </si>
  <si>
    <t>SVT-ARH-Direct-900-37W-120</t>
  </si>
  <si>
    <t>SVT-ARH-Direct-900-37W-8</t>
  </si>
  <si>
    <t>SVT-ARH-Direct-900-37W-15</t>
  </si>
  <si>
    <t>SVT-ARH-Direct-900-37W-25</t>
  </si>
  <si>
    <t>SVT-ARH-Direct-900-37W-45</t>
  </si>
  <si>
    <t>SVT-ARH-Direct-1200-50W-120</t>
  </si>
  <si>
    <t>SVT-ARH-Direct-1200-50W-8</t>
  </si>
  <si>
    <t>SVT-ARH-Direct-1200-50W-15</t>
  </si>
  <si>
    <t>SVT-ARH-Direct-1200-50W-25</t>
  </si>
  <si>
    <t>SVT-ARH-Direct-1200-50W-45</t>
  </si>
  <si>
    <t>SVT-ARH-Direct-1500-62W-120</t>
  </si>
  <si>
    <t>SVT-ARH-Direct-1500-62W-8</t>
  </si>
  <si>
    <t>SVT-ARH-Direct-1500-62W-15</t>
  </si>
  <si>
    <t>SVT-ARH-Direct-1500-62W-25</t>
  </si>
  <si>
    <t>SVT-ARH-Direct-1500-62W-45</t>
  </si>
  <si>
    <t>ARH-DIRECT TRIO QUATTRO</t>
  </si>
  <si>
    <t>SVT-ARH-Direct-300-26W-8-TRIO</t>
  </si>
  <si>
    <t>SVT-ARH-Direct-300-26W-15-TRIO</t>
  </si>
  <si>
    <t>SVT-ARH-Direct-300-26W-25-TRIO</t>
  </si>
  <si>
    <t>SVT-ARH-Direct-300-26W-45-TRIO</t>
  </si>
  <si>
    <t>SVT-ARH-Direct-300-26W-8-QUATTRO</t>
  </si>
  <si>
    <t>SVT-ARH-Direct-300-26W-15-QUATTRO</t>
  </si>
  <si>
    <t>SVT-ARH-Direct-300-26W-25-QUATTRO</t>
  </si>
  <si>
    <t>SVT-ARH-Direct-300-26W-45-QUATTRO</t>
  </si>
  <si>
    <t>SVT-ARH-Direct-450-39W-8-TRIO</t>
  </si>
  <si>
    <t>SVT-ARH-Direct-450-39W-15-TRIO</t>
  </si>
  <si>
    <t>SVT-ARH-Direct-450-39W-25-TRIO</t>
  </si>
  <si>
    <t>SVT-ARH-Direct-450-39W-45-TRIO</t>
  </si>
  <si>
    <t>SVT-ARH-Direct-450-39W-8-QUATTRO</t>
  </si>
  <si>
    <t>SVT-ARH-Direct-450-39W-15-QUATTRO</t>
  </si>
  <si>
    <t>SVT-ARH-Direct-450-39W-25-QUATTRO</t>
  </si>
  <si>
    <t>SVT-ARH-Direct-450-39W-45-QUATTRO</t>
  </si>
  <si>
    <t>SVT-ARH-Direct-600-52W-8-TRIO</t>
  </si>
  <si>
    <t>SVT-ARH-Direct-600-52W-15-TRIO</t>
  </si>
  <si>
    <t>SVT-ARH-Direct-600-52W-25-TRIO</t>
  </si>
  <si>
    <t>SVT-ARH-Direct-600-52W-45-TRIO</t>
  </si>
  <si>
    <t>SVT-ARH-Direct-600-52W-8-QUATTRO</t>
  </si>
  <si>
    <t>SVT-ARH-Direct-600-52W-15-QUATTRO</t>
  </si>
  <si>
    <t>SVT-ARH-Direct-600-52W-25-QUATTRO</t>
  </si>
  <si>
    <t>SVT-ARH-Direct-600-52W-45-QUATTRO</t>
  </si>
  <si>
    <t>SVT-ARH-Direct-750-65W-8-TRIO</t>
  </si>
  <si>
    <t>SVT-ARH-Direct-750-65W-15-TRIO</t>
  </si>
  <si>
    <t>SVT-ARH-Direct-750-65W-25-TRIO</t>
  </si>
  <si>
    <t>SVT-ARH-Direct-750-65W-45-TRIO</t>
  </si>
  <si>
    <t>SVT-ARH-Direct-750-65W-8-QUATTRO</t>
  </si>
  <si>
    <t>SVT-ARH-Direct-750-65W-15-QUATTRO</t>
  </si>
  <si>
    <t>SVT-ARH-Direct-750-65W-25-QUATTRO</t>
  </si>
  <si>
    <t>SVT-ARH-Direct-750-65W-45-QUATTRO</t>
  </si>
  <si>
    <t>SVT-ARH-Direct-900-77W-8-TRIO</t>
  </si>
  <si>
    <t>SVT-ARH-Direct-900-77W-15-TRIO</t>
  </si>
  <si>
    <t>SVT-ARH-Direct-900-77W-25-TRIO</t>
  </si>
  <si>
    <t>SVT-ARH-Direct-900-77W-45-TRIO</t>
  </si>
  <si>
    <t>SVT-ARH-Direct-900-77W-8-QUATTRO</t>
  </si>
  <si>
    <t>SVT-ARH-Direct-900-77W-15-QUATTRO</t>
  </si>
  <si>
    <t>SVT-ARH-Direct-900-77W-25-QUATTRO</t>
  </si>
  <si>
    <t>SVT-ARH-Direct-900-77W-45-QUATTRO</t>
  </si>
  <si>
    <t>156х63х68</t>
  </si>
  <si>
    <t>300х63х68</t>
  </si>
  <si>
    <t>450х63х68</t>
  </si>
  <si>
    <t>600х63х68</t>
  </si>
  <si>
    <t>750х63х68</t>
  </si>
  <si>
    <t>900х63х68</t>
  </si>
  <si>
    <t>1200х63х68</t>
  </si>
  <si>
    <t>1500х63х68</t>
  </si>
  <si>
    <t>371х210х183</t>
  </si>
  <si>
    <t>521х210х183</t>
  </si>
  <si>
    <t>671х210х183</t>
  </si>
  <si>
    <t>821х210х183</t>
  </si>
  <si>
    <t>971х210х183</t>
  </si>
  <si>
    <t>371х280х183</t>
  </si>
  <si>
    <t>521х280х183</t>
  </si>
  <si>
    <t>671х280х183</t>
  </si>
  <si>
    <t>821х280х183</t>
  </si>
  <si>
    <t>971х280х183</t>
  </si>
  <si>
    <t>0.019</t>
  </si>
  <si>
    <t>0.027</t>
  </si>
  <si>
    <t>0.035</t>
  </si>
  <si>
    <t>0.042</t>
  </si>
  <si>
    <t>0.05</t>
  </si>
  <si>
    <t>0.038</t>
  </si>
  <si>
    <t>0.0319</t>
  </si>
  <si>
    <t>0.026</t>
  </si>
  <si>
    <t>0.02</t>
  </si>
  <si>
    <t>0.014</t>
  </si>
  <si>
    <t>0.0013</t>
  </si>
  <si>
    <t>0.0026</t>
  </si>
  <si>
    <t>0.0039</t>
  </si>
  <si>
    <t>0.0051</t>
  </si>
  <si>
    <t>0.0064</t>
  </si>
  <si>
    <t>0.0078</t>
  </si>
  <si>
    <t>0.0102</t>
  </si>
  <si>
    <t>0.013</t>
  </si>
  <si>
    <t>OКТЯБРЬ 2022</t>
  </si>
  <si>
    <t>SB-00019307</t>
  </si>
  <si>
    <t>SB-00019308</t>
  </si>
  <si>
    <t>SB-00019309</t>
  </si>
  <si>
    <t>SB-00019310</t>
  </si>
  <si>
    <t>SB-00019312</t>
  </si>
  <si>
    <t>SB-00019313</t>
  </si>
  <si>
    <t>SB-00019314</t>
  </si>
  <si>
    <t>SB-00019315</t>
  </si>
  <si>
    <t>SB-00019316</t>
  </si>
  <si>
    <t>SB-00019317</t>
  </si>
  <si>
    <t>SB-00019318</t>
  </si>
  <si>
    <t>SB-00019319</t>
  </si>
  <si>
    <t>SB-00019320</t>
  </si>
  <si>
    <t>SB-00019321</t>
  </si>
  <si>
    <t>SB-00019322</t>
  </si>
  <si>
    <t>SB-00019323</t>
  </si>
  <si>
    <t>SB-00019324</t>
  </si>
  <si>
    <t>SB-00019325</t>
  </si>
  <si>
    <t>SB-00019326</t>
  </si>
  <si>
    <t>SB-00019327</t>
  </si>
  <si>
    <t>SB-00019328</t>
  </si>
  <si>
    <t>SB-00019329</t>
  </si>
  <si>
    <t>SB-00019330</t>
  </si>
  <si>
    <t>SB-00019331</t>
  </si>
  <si>
    <t>SB-00019332</t>
  </si>
  <si>
    <t>SB-00019333</t>
  </si>
  <si>
    <t>SB-00019334</t>
  </si>
  <si>
    <t>SB-00019335</t>
  </si>
  <si>
    <t>SB-00019336</t>
  </si>
  <si>
    <t>SB-00019337</t>
  </si>
  <si>
    <t>SB-00019338</t>
  </si>
  <si>
    <t>SB-00019339</t>
  </si>
  <si>
    <t>SB-00019340</t>
  </si>
  <si>
    <t>SB-00019341</t>
  </si>
  <si>
    <t>SB-00019342</t>
  </si>
  <si>
    <t>SB-00019343</t>
  </si>
  <si>
    <t>SB-00019344</t>
  </si>
  <si>
    <t>SB-00019345</t>
  </si>
  <si>
    <t>SB-00019346</t>
  </si>
  <si>
    <t>SB-00019311</t>
  </si>
  <si>
    <t>SB-00019347</t>
  </si>
  <si>
    <t>SB-00019348</t>
  </si>
  <si>
    <t>SB-00019349</t>
  </si>
  <si>
    <t>SB-00019350</t>
  </si>
  <si>
    <t>SB-00019351</t>
  </si>
  <si>
    <t>SB-00019352</t>
  </si>
  <si>
    <t>SB-00019353</t>
  </si>
  <si>
    <t>SB-00019354</t>
  </si>
  <si>
    <t>SB-00019355</t>
  </si>
  <si>
    <t>SB-00019356</t>
  </si>
  <si>
    <t>SB-00019357</t>
  </si>
  <si>
    <t>SB-00019358</t>
  </si>
  <si>
    <t>SB-00019359</t>
  </si>
  <si>
    <t>SB-00019360</t>
  </si>
  <si>
    <t>SB-00019361</t>
  </si>
  <si>
    <t>SB-00019362</t>
  </si>
  <si>
    <t>SB-00019363</t>
  </si>
  <si>
    <t>SB-00019364</t>
  </si>
  <si>
    <t>SB-00019365</t>
  </si>
  <si>
    <t>SB-00019366</t>
  </si>
  <si>
    <t>SB-00019367</t>
  </si>
  <si>
    <t>SB-00019368</t>
  </si>
  <si>
    <t>SB-00019369</t>
  </si>
  <si>
    <t>SB-00019370</t>
  </si>
  <si>
    <t>SB-00019371</t>
  </si>
  <si>
    <t>SB-00019372</t>
  </si>
  <si>
    <t>SB-00019373</t>
  </si>
  <si>
    <t>SB-00019374</t>
  </si>
  <si>
    <t>SB-00019375</t>
  </si>
  <si>
    <t>SB-00019376</t>
  </si>
  <si>
    <t>SB-00019377</t>
  </si>
  <si>
    <t>SB-00019378</t>
  </si>
  <si>
    <t>SB-00019379</t>
  </si>
  <si>
    <t>SB-00019380</t>
  </si>
  <si>
    <t>SB-00019381</t>
  </si>
  <si>
    <t>SB-00019382</t>
  </si>
  <si>
    <t>SB-00019383</t>
  </si>
  <si>
    <t>SB-00019384</t>
  </si>
  <si>
    <t>SB-00019385</t>
  </si>
  <si>
    <t>SB-00019386</t>
  </si>
  <si>
    <t>SB-00019297</t>
  </si>
  <si>
    <t>SB-00019298</t>
  </si>
  <si>
    <t>SB-00019299</t>
  </si>
  <si>
    <t>SB-00019300</t>
  </si>
  <si>
    <t>SB-00019301</t>
  </si>
  <si>
    <t>SB-00019302</t>
  </si>
  <si>
    <t>SB-00019303</t>
  </si>
  <si>
    <t>SB-00019304</t>
  </si>
  <si>
    <t>SB-00019305</t>
  </si>
  <si>
    <t>SB-00019306</t>
  </si>
  <si>
    <t>SB-00019273</t>
  </si>
  <si>
    <r>
      <rPr>
        <b/>
        <sz val="14"/>
        <color theme="1"/>
        <rFont val="Calibri"/>
        <family val="2"/>
        <charset val="204"/>
        <scheme val="minor"/>
      </rPr>
      <t xml:space="preserve">1. Ввод в ассортимент новых промышленных светильников на профиле Direct. </t>
    </r>
    <r>
      <rPr>
        <sz val="14"/>
        <color theme="1"/>
        <rFont val="Calibri"/>
        <family val="2"/>
        <charset val="204"/>
        <scheme val="minor"/>
      </rPr>
      <t xml:space="preserve">                                          </t>
    </r>
    <r>
      <rPr>
        <b/>
        <sz val="14"/>
        <color theme="1"/>
        <rFont val="Calibri"/>
        <family val="2"/>
        <charset val="204"/>
        <scheme val="minor"/>
      </rPr>
      <t xml:space="preserve">2. Ввод в ассортимент новых архитектурных светильников на профиле Direct.  </t>
    </r>
    <r>
      <rPr>
        <sz val="14"/>
        <color theme="1"/>
        <rFont val="Calibri"/>
        <family val="2"/>
        <charset val="204"/>
        <scheme val="minor"/>
      </rPr>
      <t xml:space="preserve">                                           3. Вывод из ассортимента светильников серии Fort, Луч, а также Mini прожекторов MX.                                                                           4. Прайс-лист визуально переработан.                                                                                                            </t>
    </r>
    <r>
      <rPr>
        <b/>
        <sz val="14"/>
        <color rgb="FFFF0000"/>
        <rFont val="Calibri"/>
        <family val="2"/>
        <charset val="204"/>
        <scheme val="minor"/>
      </rPr>
      <t xml:space="preserve">5. Снижены цены на светильники серии Direct! (Промышленные, архитектурные)   </t>
    </r>
    <r>
      <rPr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</t>
    </r>
  </si>
  <si>
    <t>SVT-SPC-37AR-M-IP54-4K-ASH-LK-LT</t>
  </si>
  <si>
    <t>SVT-SPC-36AR-M-IP54-4K-ASH-LK-LT EM2</t>
  </si>
  <si>
    <t>SVT-SPC-37PCO-M-4K-ASH-LK-LT</t>
  </si>
  <si>
    <t>SVT-SPC-37PCO-M-4K-ASH-LK-LT EM2</t>
  </si>
  <si>
    <t>SVT-SPC-10DL-4K-ASH-LK-LT EM2</t>
  </si>
  <si>
    <t>SVT-SPC-22RY-600-4K-ASH-LK-LT EM2</t>
  </si>
  <si>
    <t>SVT-SPC-37AR-120-4K-M-IP54-ASH-LK-LT</t>
  </si>
  <si>
    <t>SVT-SPC-37AR-120-4K-M-IP54-ASH-LK-LT EM2</t>
  </si>
  <si>
    <t>SVT-SPC-37G-588-4K-M-ASH-LK-LT</t>
  </si>
  <si>
    <t>SVT-SPC-37G-588-4K-M-ASH-LK-LT EM2</t>
  </si>
  <si>
    <t>SVT-SPC-18OV-ASH-LK-LT</t>
  </si>
  <si>
    <t xml:space="preserve">SVT-SPC-10DL-4K-ASH-LK-LT </t>
  </si>
  <si>
    <t>113х113х59</t>
  </si>
  <si>
    <t>Встраиваемый в потолок из гипсокартона. Монтажное отверстие 90мм</t>
  </si>
  <si>
    <t>600х50х50</t>
  </si>
  <si>
    <t xml:space="preserve">SVT-SPC-22RY-600-4K-ASH-LK-LT </t>
  </si>
  <si>
    <t>SVT-SPC-8AR-ASH-LK-LT</t>
  </si>
  <si>
    <t>Fort-LV</t>
  </si>
  <si>
    <t>SVT-P-Fort-300-8W-LV-12V DC</t>
  </si>
  <si>
    <t>SB-00007516</t>
  </si>
  <si>
    <t>Поворотный кронштейн 1шт</t>
  </si>
  <si>
    <t>SVT-P-Fort-300-8W-LV-24V DC</t>
  </si>
  <si>
    <t>SB-00007517</t>
  </si>
  <si>
    <t>SVT-P-Fort-300-8W-LV-36V DC</t>
  </si>
  <si>
    <t>SB-00007518</t>
  </si>
  <si>
    <t>SVT-P-Fort-300-8W-LV-12V AC</t>
  </si>
  <si>
    <t>SB-00007519</t>
  </si>
  <si>
    <t>SVT-P-Fort-300-8W-LV-24V AC</t>
  </si>
  <si>
    <t>SB-00007520</t>
  </si>
  <si>
    <t>SVT-P-Fort-300-8W-LV-36V AC</t>
  </si>
  <si>
    <t>SB-00007521</t>
  </si>
  <si>
    <t>SVT-P-Fort-600-16W-LV-12V DC</t>
  </si>
  <si>
    <t>SB-00007522</t>
  </si>
  <si>
    <t>Поворотный кронштейн 2шт</t>
  </si>
  <si>
    <t>SVT-P-Fort-600-16W-LV-24V DC</t>
  </si>
  <si>
    <t>SB-00007523</t>
  </si>
  <si>
    <t>SVT-P-Fort-600-16W-LV-36V DC</t>
  </si>
  <si>
    <t>SB-00007524</t>
  </si>
  <si>
    <t>SVT-P-Fort-600-16W-LV-12V AC</t>
  </si>
  <si>
    <t>SB-00007525</t>
  </si>
  <si>
    <t>SVT-P-Fort-600-16W-LV-24V AC</t>
  </si>
  <si>
    <t>SB-00007526</t>
  </si>
  <si>
    <t>SVT-P-Fort-600-16W-LV-36V AC</t>
  </si>
  <si>
    <t>SB-00007527</t>
  </si>
  <si>
    <t>SVT-P-Fort-900-24W-LV-12V DC</t>
  </si>
  <si>
    <t>SB-00007528</t>
  </si>
  <si>
    <t>SVT-P-Fort-900-24W-LV-24V DC</t>
  </si>
  <si>
    <t>SB-00007529</t>
  </si>
  <si>
    <t>SVT-P-Fort-900-24W-LV-36V DC</t>
  </si>
  <si>
    <t>SB-00007530</t>
  </si>
  <si>
    <t>SVT-P-Fort-900-24W-LV-12V AC</t>
  </si>
  <si>
    <t>SB-00007531</t>
  </si>
  <si>
    <t>SVT-P-Fort-900-24W-LV-24V AC</t>
  </si>
  <si>
    <t>SB-00007534</t>
  </si>
  <si>
    <t>SVT-P-Fort-900-24W-LV-36V AC</t>
  </si>
  <si>
    <t>SB-00007535</t>
  </si>
  <si>
    <t>SVT-P-Fort-1200-32W-LV-12V DC</t>
  </si>
  <si>
    <t>SB-00007536</t>
  </si>
  <si>
    <t>SVT-P-Fort-1200-32W-LV-24V DC</t>
  </si>
  <si>
    <t>SB-00007537</t>
  </si>
  <si>
    <t>SVT-P-Fort-1200-32W-LV-36V DC</t>
  </si>
  <si>
    <t>SB-00007538</t>
  </si>
  <si>
    <t>SVT-P-Fort-1200-32W-LV-12V AC</t>
  </si>
  <si>
    <t>SB-00007539</t>
  </si>
  <si>
    <t>SVT-P-Fort-1200-32W-LV-24V AC</t>
  </si>
  <si>
    <t>SB-00007540</t>
  </si>
  <si>
    <t>SVT-P-Fort-1200-32W-LV-36V AC</t>
  </si>
  <si>
    <t>SB-00007541</t>
  </si>
  <si>
    <t>SVT-ARH-Direct-150-6W-10х60</t>
  </si>
  <si>
    <t>Овал</t>
  </si>
  <si>
    <t>SVT-ARH-Direct-300-12W-10х60</t>
  </si>
  <si>
    <t>SVT-ARH-Direct-450-19W-10х60</t>
  </si>
  <si>
    <t>SVT-ARH-Direct-600-25W-10х60</t>
  </si>
  <si>
    <t>SVT-ARH-Direct-750-31W-10х60</t>
  </si>
  <si>
    <t>SVT-ARH-Direct-900-37W-10х60</t>
  </si>
  <si>
    <t>SVT-ARH-Direct-1200-50W-10х60</t>
  </si>
  <si>
    <t>SVT-ARH-Direct-1500-62W-10х60</t>
  </si>
  <si>
    <t xml:space="preserve">SVT-ARM-U-AIR-1195x200x34-31W-IP54-PR </t>
  </si>
  <si>
    <t>SVT-ARM-U-AIR-1195x200x34-36W-IP54-PR</t>
  </si>
  <si>
    <t>SVT-ARM-RP-1240x290x90-36W-М-4000К</t>
  </si>
  <si>
    <t>SVT-ARM-RP-706x310x100-18W-М-4000К</t>
  </si>
  <si>
    <t xml:space="preserve">SVT-ARM-Clip-in-47W-IP54-M-4000K </t>
  </si>
  <si>
    <t>SVT-P-I-1262-30W-T</t>
  </si>
  <si>
    <t>SVT-P-I-1262-30W-M</t>
  </si>
  <si>
    <t>SVT-P-I-1262-40W-M</t>
  </si>
  <si>
    <t>SVT-P-I-1262-40W-T</t>
  </si>
  <si>
    <t xml:space="preserve">1262x124x85 </t>
  </si>
  <si>
    <t>1262x124x85</t>
  </si>
  <si>
    <r>
      <rPr>
        <b/>
        <sz val="14"/>
        <color theme="1"/>
        <rFont val="Calibri"/>
        <family val="2"/>
        <charset val="204"/>
        <scheme val="minor"/>
      </rPr>
      <t xml:space="preserve">1. Переработаны серии светильников "Айсберг" и "Армсотронг". Характеристики стали лучше, цены ниже!  </t>
    </r>
    <r>
      <rPr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</t>
    </r>
    <r>
      <rPr>
        <b/>
        <sz val="14"/>
        <color rgb="FFFF0000"/>
        <rFont val="Calibri"/>
        <family val="2"/>
        <charset val="204"/>
        <scheme val="minor"/>
      </rPr>
      <t>2. Самые выгодные позиции в обновленных сериях выделены красным цветом.</t>
    </r>
  </si>
  <si>
    <t>Модуль-переноска</t>
  </si>
  <si>
    <t>SVT-STR-M-32W-Go</t>
  </si>
  <si>
    <t>SB-00012935</t>
  </si>
  <si>
    <t>Напольная переносная подставка</t>
  </si>
  <si>
    <t>250x300x300</t>
  </si>
  <si>
    <t>SVT-STR-M-48W-Go</t>
  </si>
  <si>
    <t>SB-00012936</t>
  </si>
  <si>
    <t>SVT-STR-M-32W-Go-DUO</t>
  </si>
  <si>
    <t>SB-00012937</t>
  </si>
  <si>
    <t>SVT-STR-M-48W-Go-DUO</t>
  </si>
  <si>
    <t>SB-00012938</t>
  </si>
  <si>
    <t>SB-00019529</t>
  </si>
  <si>
    <t>SB-00019522</t>
  </si>
  <si>
    <t>SB-00019523</t>
  </si>
  <si>
    <t>SB-00019524</t>
  </si>
  <si>
    <t>SB-00019525</t>
  </si>
  <si>
    <t>SB-00019526</t>
  </si>
  <si>
    <t>SB-00019527</t>
  </si>
  <si>
    <t>SB-00019528</t>
  </si>
  <si>
    <t>SVT-P-DIRECT-300-8W-LV-12V DC</t>
  </si>
  <si>
    <t>SVT-P-DIRECT-300-8W-LV-24V DC</t>
  </si>
  <si>
    <t>SVT-P-DIRECT-300-8W-LV-36V DC</t>
  </si>
  <si>
    <t>SVT-P-DIRECT-300-8W-LV-12V AC</t>
  </si>
  <si>
    <t>SVT-P-DIRECT-300-8W-LV-24V AC</t>
  </si>
  <si>
    <t>SVT-P-DIRECT-300-8W-LV-36V AC</t>
  </si>
  <si>
    <t>SVT-P-DIRECT-600-16W-LV-12V DC</t>
  </si>
  <si>
    <t>SVT-P-DIRECT-600-16W-LV-24V DC</t>
  </si>
  <si>
    <t>SVT-P-DIRECT-600-16W-LV-36V DC</t>
  </si>
  <si>
    <t>SVT-P-DIRECT-600-16W-LV-12V AC</t>
  </si>
  <si>
    <t>SVT-P-DIRECT-600-16W-LV-24V AC</t>
  </si>
  <si>
    <t>SVT-P-DIRECT-600-16W-LV-36V AC</t>
  </si>
  <si>
    <t>SVT-P-DIRECT-900-24W-LV-12V DC</t>
  </si>
  <si>
    <t>SVT-P-DIRECT-900-24W-LV-24V DC</t>
  </si>
  <si>
    <t>SVT-P-DIRECT-900-24W-LV-36V DC</t>
  </si>
  <si>
    <t>SVT-P-DIRECT-900-24W-LV-12V AC</t>
  </si>
  <si>
    <t>SVT-P-DIRECT-900-24W-LV-24V AC</t>
  </si>
  <si>
    <t>SVT-P-DIRECT-900-24W-LV-36V AC</t>
  </si>
  <si>
    <t>SVT-P-DIRECT-1200-32W-LV-12V DC</t>
  </si>
  <si>
    <t>SVT-P-DIRECT-1200-32W-LV-24V DC</t>
  </si>
  <si>
    <t>SVT-P-DIRECT-1200-32W-LV-36V DC</t>
  </si>
  <si>
    <t>SVT-P-DIRECT-1200-32W-LV-12V AC</t>
  </si>
  <si>
    <t>SVT-P-DIRECT-1200-32W-LV-24V AC</t>
  </si>
  <si>
    <t>SVT-P-DIRECT-1200-32W-LV-36V AC</t>
  </si>
  <si>
    <t>Д, 122</t>
  </si>
  <si>
    <t>Д, 123</t>
  </si>
  <si>
    <t>Д, 124</t>
  </si>
  <si>
    <t>Д, 125</t>
  </si>
  <si>
    <t>Д, 126</t>
  </si>
  <si>
    <t>Д, 127</t>
  </si>
  <si>
    <t>Д, 128</t>
  </si>
  <si>
    <t>Д, 129</t>
  </si>
  <si>
    <t>Д, 130</t>
  </si>
  <si>
    <t>Д, 131</t>
  </si>
  <si>
    <t>Д, 132</t>
  </si>
  <si>
    <t>Д, 133</t>
  </si>
  <si>
    <t>Д, 134</t>
  </si>
  <si>
    <t>Д, 135</t>
  </si>
  <si>
    <t>Д, 136</t>
  </si>
  <si>
    <t>Д, 137</t>
  </si>
  <si>
    <t>Д, 138</t>
  </si>
  <si>
    <t>Д, 139</t>
  </si>
  <si>
    <t>Д, 140</t>
  </si>
  <si>
    <t>Д, 141</t>
  </si>
  <si>
    <t>Д, 142</t>
  </si>
  <si>
    <t>Д, 143</t>
  </si>
  <si>
    <t>У2</t>
  </si>
  <si>
    <t>У3</t>
  </si>
  <si>
    <t>У4</t>
  </si>
  <si>
    <t>У5</t>
  </si>
  <si>
    <t>У6</t>
  </si>
  <si>
    <t>У7</t>
  </si>
  <si>
    <t>У8</t>
  </si>
  <si>
    <t>У9</t>
  </si>
  <si>
    <t>У10</t>
  </si>
  <si>
    <t>У11</t>
  </si>
  <si>
    <t>У12</t>
  </si>
  <si>
    <t>У13</t>
  </si>
  <si>
    <t>У14</t>
  </si>
  <si>
    <t>У15</t>
  </si>
  <si>
    <t>У16</t>
  </si>
  <si>
    <t>У17</t>
  </si>
  <si>
    <t>У18</t>
  </si>
  <si>
    <t>У19</t>
  </si>
  <si>
    <t>У20</t>
  </si>
  <si>
    <t>У21</t>
  </si>
  <si>
    <t>У22</t>
  </si>
  <si>
    <t>У23</t>
  </si>
  <si>
    <t>У24</t>
  </si>
  <si>
    <t>P-DIRECT-LV</t>
  </si>
  <si>
    <t>SB-00019555</t>
  </si>
  <si>
    <t>SB-00019553</t>
  </si>
  <si>
    <t>SB-00019552</t>
  </si>
  <si>
    <t>SB-00019556</t>
  </si>
  <si>
    <t>SB-00019554</t>
  </si>
  <si>
    <t>SB-00019537</t>
  </si>
  <si>
    <t>SB-00019538</t>
  </si>
  <si>
    <t>SB-00019535</t>
  </si>
  <si>
    <t>SB-00019539</t>
  </si>
  <si>
    <t>SB-00019543</t>
  </si>
  <si>
    <t>SB-00019536</t>
  </si>
  <si>
    <t>SB-00019540</t>
  </si>
  <si>
    <t>SB-00019544</t>
  </si>
  <si>
    <t>SB-00019541</t>
  </si>
  <si>
    <t>SB-00019545</t>
  </si>
  <si>
    <t>SB-00019542</t>
  </si>
  <si>
    <t>SB-00019549</t>
  </si>
  <si>
    <t>SB-00019546</t>
  </si>
  <si>
    <t>SB-00019550</t>
  </si>
  <si>
    <t>SB-00019547</t>
  </si>
  <si>
    <t>SB-00019551</t>
  </si>
  <si>
    <t>SB-00019548</t>
  </si>
  <si>
    <t>SB-00019557</t>
  </si>
  <si>
    <t>SB-00019558</t>
  </si>
  <si>
    <t>50 mA</t>
  </si>
  <si>
    <t>100 mA</t>
  </si>
  <si>
    <t xml:space="preserve">Samsung/ Lumileds 2835-25 шт </t>
  </si>
  <si>
    <t xml:space="preserve">Samsung/ Lumileds 2835-50 шт </t>
  </si>
  <si>
    <t xml:space="preserve">Samsung/ Lumileds 2835-75 шт </t>
  </si>
  <si>
    <t xml:space="preserve">Samsung/ Lumileds 2835-100 шт </t>
  </si>
  <si>
    <t>Samsung/ Lumileds-84 шт</t>
  </si>
  <si>
    <t>83мА</t>
  </si>
  <si>
    <t>Samsung/ Lumileds-25 шт</t>
  </si>
  <si>
    <t>Samsung/ Lumileds-50 шт</t>
  </si>
  <si>
    <t>Samsung/ Lumileds-75 шт</t>
  </si>
  <si>
    <t>Samsung/ Lumileds-100 шт</t>
  </si>
  <si>
    <t>100мА</t>
  </si>
  <si>
    <t>ЖКХ светильники ↓</t>
  </si>
  <si>
    <t>SVT-STR-M-10W</t>
  </si>
  <si>
    <t xml:space="preserve">SVT-STR-M-20W </t>
  </si>
  <si>
    <t>SB-00019561</t>
  </si>
  <si>
    <t>SB-00019562</t>
  </si>
  <si>
    <t>2835, 20 шт</t>
  </si>
  <si>
    <t>145x100x130</t>
  </si>
  <si>
    <t>Модуль V "Галочка"  (полуширокая КСС)</t>
  </si>
  <si>
    <t>Архитектурные светильники "Луч". Напряжение питания 24V DC, без блока питания. ↓</t>
  </si>
  <si>
    <t>Inray. Линейные светильники для офисов и ритейла ↓</t>
  </si>
  <si>
    <t>HОЯБРЬ 2022</t>
  </si>
  <si>
    <r>
      <rPr>
        <b/>
        <sz val="14"/>
        <color theme="1"/>
        <rFont val="Calibri"/>
        <family val="2"/>
        <charset val="204"/>
        <scheme val="minor"/>
      </rPr>
      <t>1. Снижены цены на пожаробезопасные светильники.</t>
    </r>
    <r>
      <rPr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     </t>
    </r>
  </si>
  <si>
    <r>
      <rPr>
        <b/>
        <sz val="14"/>
        <color theme="1"/>
        <rFont val="Calibri"/>
        <family val="2"/>
        <charset val="204"/>
        <scheme val="minor"/>
      </rPr>
      <t>1. Переработан раздел низковольтных светильников.</t>
    </r>
    <r>
      <rPr>
        <sz val="14"/>
        <color theme="1"/>
        <rFont val="Calibri"/>
        <family val="2"/>
        <charset val="204"/>
        <scheme val="minor"/>
      </rPr>
      <t xml:space="preserve"> Теперь есть 3 вида исполнения: на серии "Модуль", "Айсберг" и "Директ" Улучшены некоторые характеристики и установлены цены.                                                                                                                                                                           </t>
    </r>
    <r>
      <rPr>
        <b/>
        <sz val="14"/>
        <color theme="1"/>
        <rFont val="Calibri"/>
        <family val="2"/>
        <charset val="204"/>
        <scheme val="minor"/>
      </rPr>
      <t xml:space="preserve">2. Добавлены два новых светильника в раздел ЖКХ:  </t>
    </r>
    <r>
      <rPr>
        <sz val="14"/>
        <color theme="1"/>
        <rFont val="Calibri"/>
        <family val="2"/>
        <charset val="204"/>
        <scheme val="minor"/>
      </rPr>
      <t xml:space="preserve">                                                                       SVT-STR-M-10W и SVT-STR-M-10W. Компактные размеры, алюминиевый корпус, гарантия и хорошие характеристики с низкой ценой!                                                                               </t>
    </r>
  </si>
  <si>
    <t>Указанные цены действуют на заказ от 10 штук.</t>
  </si>
  <si>
    <t>SB-00011343</t>
  </si>
  <si>
    <t>486x97x134</t>
  </si>
  <si>
    <t>486x97x145</t>
  </si>
  <si>
    <t>Модуль CRI70</t>
  </si>
  <si>
    <t>157х90</t>
  </si>
  <si>
    <t>Refond/ Lumileds 72шт</t>
  </si>
  <si>
    <t>410х100х123</t>
  </si>
  <si>
    <t xml:space="preserve"> -60°/+50° С</t>
  </si>
  <si>
    <t>410х100х130</t>
  </si>
  <si>
    <t>SVT-STR-M-CRI70-81W-157X90-C</t>
  </si>
  <si>
    <t>Refond/ Lumileds 108шт</t>
  </si>
  <si>
    <t>610х100х123</t>
  </si>
  <si>
    <t>SVT-STR-M-CRI70-81W-157X90</t>
  </si>
  <si>
    <t>610х100х130</t>
  </si>
  <si>
    <t>SVT-STR-M-CRI70-81W-150</t>
  </si>
  <si>
    <t>SVT-STR-M-CRI70-81W-90</t>
  </si>
  <si>
    <t>SVT-STR-M-CRI70-81W-60</t>
  </si>
  <si>
    <t>SVT-STR-M-CRI70-81W-30</t>
  </si>
  <si>
    <t>Цена, руб. с НДС 20%
Розница</t>
  </si>
  <si>
    <t>Мелкий ОПТ</t>
  </si>
  <si>
    <t>ОПТ</t>
  </si>
  <si>
    <t>МРЦ</t>
  </si>
  <si>
    <t>ДЕКAБРЬ 2022</t>
  </si>
  <si>
    <r>
      <t xml:space="preserve">1. </t>
    </r>
    <r>
      <rPr>
        <sz val="14"/>
        <color theme="1"/>
        <rFont val="Calibri"/>
        <family val="2"/>
        <charset val="204"/>
        <scheme val="minor"/>
      </rPr>
      <t xml:space="preserve">Добавлено спецпредложение на улично-промышленные светильники во вкладке "Акция".      </t>
    </r>
    <r>
      <rPr>
        <b/>
        <sz val="14"/>
        <color theme="1"/>
        <rFont val="Calibri"/>
        <family val="2"/>
        <charset val="204"/>
        <scheme val="minor"/>
      </rPr>
      <t xml:space="preserve">                                                                    </t>
    </r>
  </si>
  <si>
    <t>SVT-STR-M-CRI70-54W-30</t>
  </si>
  <si>
    <t>SVT-STR-M-CRI70-54W-60</t>
  </si>
  <si>
    <t>SVT-STR-M-CRI70-54W-90</t>
  </si>
  <si>
    <t>SVT-STR-M-CRI70-54W-150</t>
  </si>
  <si>
    <t>SVT-STR-M-CRI70-54W-157X90</t>
  </si>
  <si>
    <t>SVT-STR-M-CRI70-54W-157X90-C</t>
  </si>
  <si>
    <t>По запросу: низковольтное, аварийное исполнение (Рабочая температура окр. Среды: +1 / +30° С)</t>
  </si>
  <si>
    <t>Samsung LM281B+ 2*336 шт</t>
  </si>
  <si>
    <t>Samsung LM281B+ 3*336 шт</t>
  </si>
  <si>
    <t>Samsung LM281B+ 4*336 шт</t>
  </si>
  <si>
    <t>SVT-STR-VAR-COB-60W-135x75-C</t>
  </si>
  <si>
    <t>Inventronics или иной по запросу</t>
  </si>
  <si>
    <t>&lt;3%</t>
  </si>
  <si>
    <t>Lumileds 1 шт</t>
  </si>
  <si>
    <t>1050 мА</t>
  </si>
  <si>
    <t>Консоль на трубу до 60мм</t>
  </si>
  <si>
    <t>-60°/+50° С</t>
  </si>
  <si>
    <t>SVT-STR-VAR-COB-60W-38</t>
  </si>
  <si>
    <t>SVT-STR-VAR-COB-60W-45</t>
  </si>
  <si>
    <t>SVT-STR-VAR-COB-60W-60</t>
  </si>
  <si>
    <t>SVT-STR-VAR-COB-60W-90</t>
  </si>
  <si>
    <t>SVT-STR-VAR-COB-60W-120</t>
  </si>
  <si>
    <t>Lumileds 2 шт</t>
  </si>
  <si>
    <t>SVT-STR-VAR-COB-120W-38</t>
  </si>
  <si>
    <t>SVT-STR-VAR-COB-120W-45</t>
  </si>
  <si>
    <t>SVT-STR-VAR-COB-120W-60</t>
  </si>
  <si>
    <t>SVT-STR-VAR-COB-120W-90</t>
  </si>
  <si>
    <t>SVT-STR-VAR-COB-120W-120</t>
  </si>
  <si>
    <t>Lumileds 3 шт</t>
  </si>
  <si>
    <t>SVT-STR-VAR-COB-180W-38</t>
  </si>
  <si>
    <t>SVT-STR-VAR-COB-180W-45</t>
  </si>
  <si>
    <t>SVT-STR-VAR-COB-180W-60</t>
  </si>
  <si>
    <t>SVT-STR-VAR-COB-180W-90</t>
  </si>
  <si>
    <t>SVT-STR-VAR-COB-180W-120</t>
  </si>
  <si>
    <t>Lumileds 4 шт</t>
  </si>
  <si>
    <t>SVT-STR-VAR-COB-240W-38</t>
  </si>
  <si>
    <t>SVT-STR-VAR-COB-240W-45</t>
  </si>
  <si>
    <t>SVT-STR-VAR-COB-240W-60</t>
  </si>
  <si>
    <t>SVT-STR-VAR-COB-240W-90</t>
  </si>
  <si>
    <t>SVT-STR-VAR-COB-240W-120</t>
  </si>
  <si>
    <t>SVT-STR-MPRO-48W-DUO</t>
  </si>
  <si>
    <t>SVT-STR-MPRO-48W-TRIO (креп. М)</t>
  </si>
  <si>
    <t>SVT-STR-MPRO-32W-DUO</t>
  </si>
  <si>
    <t>SVT-STR-MPRO-32W-DUO90</t>
  </si>
  <si>
    <t>SVT-STR-MPRO-32W-DUO90-С</t>
  </si>
  <si>
    <t>SVT-STR-MPRO-32W-DUO-C</t>
  </si>
  <si>
    <t>SVT-STR-MPRO-32W-TRIO</t>
  </si>
  <si>
    <t>SVT-STR-MPRO-32W-TRIO90</t>
  </si>
  <si>
    <t>SVT-STR-MPRO-32W-TRIO90-С</t>
  </si>
  <si>
    <t>SVT-STR-MPRO-32W-TRIO-C</t>
  </si>
  <si>
    <t>SVT-STR-MPRO-48W-DUO90</t>
  </si>
  <si>
    <t>SVT-STR-MPRO-48W-DUO90-C</t>
  </si>
  <si>
    <t>SVT-STR-MPRO-48W-DUO (крем. М)</t>
  </si>
  <si>
    <t>SVT-STR-MPRO-61W-DUO90</t>
  </si>
  <si>
    <t>SVT-STR-MPRO-61W-DUO90-C</t>
  </si>
  <si>
    <t>SVT-STR-MPRO-61W-TRIO90</t>
  </si>
  <si>
    <t>SVT-STR-MPRO-61W-TRIO90-C</t>
  </si>
  <si>
    <t>SVT-STR-MPRO-80W-DUO-С</t>
  </si>
  <si>
    <t>SVT-STR-MPRO-80W-TRIO-C</t>
  </si>
  <si>
    <t>SVT-STR-MPRO-48W-TRIO90</t>
  </si>
  <si>
    <t>SVT-STR-MPRO-48W-TRIO90-C</t>
  </si>
  <si>
    <t>Аргос/ Трион или иной по запросу</t>
  </si>
  <si>
    <t>2835 - 168 шт.</t>
  </si>
  <si>
    <t>117 мА</t>
  </si>
  <si>
    <t>-60°/+60° С</t>
  </si>
  <si>
    <t>2835 - 252 шт.</t>
  </si>
  <si>
    <t>2835 - 264 шт.</t>
  </si>
  <si>
    <t>SB-00008630</t>
  </si>
  <si>
    <t>SB-00019181</t>
  </si>
  <si>
    <t>SB-00020114</t>
  </si>
  <si>
    <t>2835 - 396 шт.</t>
  </si>
  <si>
    <t>2835 - 336 шт.</t>
  </si>
  <si>
    <t>SB-00019718</t>
  </si>
  <si>
    <t>2835 - 504 шт.</t>
  </si>
  <si>
    <t>SVT-STR-MPRO-61W-TRIO-C</t>
  </si>
  <si>
    <t>SB-00009245</t>
  </si>
  <si>
    <t>SVT-STR-MPRO-80W-DUO</t>
  </si>
  <si>
    <t>SB-00019155</t>
  </si>
  <si>
    <t>Аргос или иной по запросу</t>
  </si>
  <si>
    <t>2835 - 432 шт.</t>
  </si>
  <si>
    <t>SVT-STR-MPRO-80W-TRIO</t>
  </si>
  <si>
    <t>SB-00019750</t>
  </si>
  <si>
    <t>2835 - 648 шт.</t>
  </si>
  <si>
    <t>5050 - 96 шт.</t>
  </si>
  <si>
    <t>ПММА + Стекло силикатное прозрачное</t>
  </si>
  <si>
    <t>Inventronics/ MW или иной по запросу</t>
  </si>
  <si>
    <t>SVT-STR-VAR-210W-150-GL</t>
  </si>
  <si>
    <t>SVT-STR-VAR-210W-30x120-GL</t>
  </si>
  <si>
    <t>SVT-STR-VAR-210W-100-GL</t>
  </si>
  <si>
    <t>SVT-STR-VAR-210W-65-GL</t>
  </si>
  <si>
    <t>SVT-STR-VAR-210W-35-GL</t>
  </si>
  <si>
    <t>SVT-STR-VAR-210W-20-GL</t>
  </si>
  <si>
    <t>5050 - 72 шт.</t>
  </si>
  <si>
    <t>SVT-STR-VAR-156W-150-GL</t>
  </si>
  <si>
    <t>SVT-STR-VAR-156W-30x120-GL</t>
  </si>
  <si>
    <t>SVT-STR-VAR-156W-100-GL</t>
  </si>
  <si>
    <t>SVT-STR-VAR-156W-65-GL</t>
  </si>
  <si>
    <t>SVT-STR-VAR-156W-35-GL</t>
  </si>
  <si>
    <t>SVT-STR-VAR-156W-20-GL</t>
  </si>
  <si>
    <t>450 мА</t>
  </si>
  <si>
    <t>5050 - 48 шт.</t>
  </si>
  <si>
    <t>SVT-STR-VAR-135W-150-GL</t>
  </si>
  <si>
    <t>SVT-STR-VAR-135W-30x120-GL</t>
  </si>
  <si>
    <t>SVT-STR-VAR-135W-100-GL</t>
  </si>
  <si>
    <t>SVT-STR-VAR-135W-65-GL</t>
  </si>
  <si>
    <t>SVT-STR-VAR-135W-35-GL</t>
  </si>
  <si>
    <t>SVT-STR-VAR-135W-20-GL</t>
  </si>
  <si>
    <t>Аргос/ Inventronics/ MW или иной по запросу</t>
  </si>
  <si>
    <t>SVT-STR-VAR-102W-150-GL</t>
  </si>
  <si>
    <t>SVT-STR-VAR-102W-30x120-GL</t>
  </si>
  <si>
    <t>SVT-STR-VAR-102W-100-GL</t>
  </si>
  <si>
    <t>SVT-STR-VAR-102W-65-GL</t>
  </si>
  <si>
    <t>SVT-STR-VAR-102W-35-GL</t>
  </si>
  <si>
    <t>SVT-STR-VAR-102W-20-GL</t>
  </si>
  <si>
    <t>525 мА</t>
  </si>
  <si>
    <t>5050 - 24 шт.</t>
  </si>
  <si>
    <t>SVT-STR-VAR-81W-150-GL</t>
  </si>
  <si>
    <t>SVT-STR-VAR-81W-30x120-GL</t>
  </si>
  <si>
    <t>SVT-STR-VAR-81W-100-GL</t>
  </si>
  <si>
    <t>SVT-STR-VAR-81W-65-GL</t>
  </si>
  <si>
    <t>SVT-STR-VAR-81W-35-GL</t>
  </si>
  <si>
    <t>SVT-STR-VAR-81W-20-GL</t>
  </si>
  <si>
    <t>SVT-STR-VAR-81W-45x140-GL-C</t>
  </si>
  <si>
    <r>
      <t>Низковольтный на серии Айсберг v2 (</t>
    </r>
    <r>
      <rPr>
        <b/>
        <i/>
        <sz val="12"/>
        <color theme="1"/>
        <rFont val="Calibri"/>
        <family val="2"/>
        <charset val="204"/>
        <scheme val="minor"/>
      </rPr>
      <t>цена при заказе от 10 шт.</t>
    </r>
    <r>
      <rPr>
        <sz val="16"/>
        <color theme="1"/>
        <rFont val="Calibri"/>
        <family val="2"/>
        <charset val="204"/>
        <scheme val="minor"/>
      </rPr>
      <t>)</t>
    </r>
  </si>
  <si>
    <r>
      <t>Низковольтный на серии DIRECT (</t>
    </r>
    <r>
      <rPr>
        <b/>
        <i/>
        <sz val="12"/>
        <color theme="1"/>
        <rFont val="Calibri"/>
        <family val="2"/>
        <charset val="204"/>
        <scheme val="minor"/>
      </rPr>
      <t>цена при заказе от 10 шт</t>
    </r>
    <r>
      <rPr>
        <sz val="16"/>
        <color theme="1"/>
        <rFont val="Calibri"/>
        <family val="2"/>
        <charset val="204"/>
        <scheme val="minor"/>
      </rPr>
      <t>.)</t>
    </r>
  </si>
  <si>
    <r>
      <t>Низковольный на серии Модуль (</t>
    </r>
    <r>
      <rPr>
        <b/>
        <i/>
        <sz val="12"/>
        <color theme="1"/>
        <rFont val="Calibri"/>
        <family val="2"/>
        <charset val="204"/>
        <scheme val="minor"/>
      </rPr>
      <t>цена при заказе от 10 шт.</t>
    </r>
    <r>
      <rPr>
        <sz val="16"/>
        <color theme="1"/>
        <rFont val="Calibri"/>
        <family val="2"/>
        <charset val="204"/>
        <scheme val="minor"/>
      </rPr>
      <t>)</t>
    </r>
  </si>
  <si>
    <t>На всех фото представлена  оптика 135х75</t>
  </si>
  <si>
    <t>DISK - промышленные светильники. ↓</t>
  </si>
  <si>
    <t>DIRECT - промышленные светильники. ↓</t>
  </si>
  <si>
    <t>DKU-CITY - уличные светильники с регулируемым консольным креплением. ↓</t>
  </si>
  <si>
    <t>Модуль - светильники серии "M" ↓</t>
  </si>
  <si>
    <t>Айсберг - промышленные светильники  (ЛСП). ↓</t>
  </si>
  <si>
    <r>
      <rPr>
        <b/>
        <sz val="16"/>
        <color theme="1"/>
        <rFont val="Calibri"/>
        <family val="2"/>
        <charset val="204"/>
        <scheme val="minor"/>
      </rPr>
      <t>VARIO</t>
    </r>
    <r>
      <rPr>
        <sz val="16"/>
        <color theme="1"/>
        <rFont val="Calibri"/>
        <family val="2"/>
        <charset val="204"/>
        <scheme val="minor"/>
      </rPr>
      <t xml:space="preserve"> -универсальные светильники серии "VAR" (ВАР). ↓</t>
    </r>
  </si>
  <si>
    <r>
      <rPr>
        <b/>
        <sz val="16"/>
        <color theme="1"/>
        <rFont val="Calibri"/>
        <family val="2"/>
        <charset val="204"/>
        <scheme val="minor"/>
      </rPr>
      <t>COB 2.0</t>
    </r>
    <r>
      <rPr>
        <sz val="16"/>
        <color theme="1"/>
        <rFont val="Calibri"/>
        <family val="2"/>
        <charset val="204"/>
        <scheme val="minor"/>
      </rPr>
      <t xml:space="preserve"> - уличные, промышленные светильники. Светоотдача 150лм/Bт. ↓</t>
    </r>
  </si>
  <si>
    <t>Модуль PRO - универсальные светильники серии "MPRO" . ↓</t>
  </si>
  <si>
    <t>VAR</t>
  </si>
  <si>
    <t>DIRECT-ARH - архитектурные светильники. ↓</t>
  </si>
  <si>
    <t>ARH-CUBE - архитектурные светильники. ↓</t>
  </si>
  <si>
    <t>MINI 2MX - архитектурные двухлучевые прожекторы. ↓</t>
  </si>
  <si>
    <t>COLOR - архитектурные светильники c цветной оптикой. ↓</t>
  </si>
  <si>
    <t>Архитектурные DMX-прожекторы. ↓</t>
  </si>
  <si>
    <t xml:space="preserve">1. Добавлены абсолютно новые светильники серии VARIO:                </t>
  </si>
  <si>
    <t>универсальные светильники VAR;</t>
  </si>
  <si>
    <t>2. Расширена линейка светильников Модуль PRO моделями в исполнениях:</t>
  </si>
  <si>
    <t>DUO, TRIO и углами расположения модулей под 90 градусов.</t>
  </si>
  <si>
    <t>ФЕВРAЛЬ 2023</t>
  </si>
  <si>
    <t>Прайс-лист действует до 28.02.2023. Цены указаны на самовывоз из г. Минск. Доставка до Вашего города рассчитывается отдельно.</t>
  </si>
  <si>
    <t>Прайс-лист действует до 28.02.2023</t>
  </si>
  <si>
    <t>Прайс действителен до 28.02.2023</t>
  </si>
  <si>
    <t>улично-промышленные светильники VAR-COB (COB 2.0);</t>
  </si>
  <si>
    <t>SB-00020189</t>
  </si>
  <si>
    <t>SB-00020190</t>
  </si>
  <si>
    <t>SB-00020191</t>
  </si>
  <si>
    <t>SB-00020192</t>
  </si>
  <si>
    <t>SB-00020193</t>
  </si>
  <si>
    <t>SB-00020194</t>
  </si>
  <si>
    <t>SB-00020195</t>
  </si>
  <si>
    <t>SB-00020196</t>
  </si>
  <si>
    <t>SB-00020197</t>
  </si>
  <si>
    <t>SB-00020198</t>
  </si>
  <si>
    <t>SB-00020199</t>
  </si>
  <si>
    <t>SB-00020200</t>
  </si>
  <si>
    <t>SB-00020201</t>
  </si>
  <si>
    <t>SB-00020202</t>
  </si>
  <si>
    <t>SB-00020203</t>
  </si>
  <si>
    <t>SB-00020204</t>
  </si>
  <si>
    <t>SB-00020205</t>
  </si>
  <si>
    <t>SB-00020206</t>
  </si>
  <si>
    <t>SB-00020207</t>
  </si>
  <si>
    <t>SB-00020208</t>
  </si>
  <si>
    <t>SB-00020209</t>
  </si>
  <si>
    <t>SB-00020210</t>
  </si>
  <si>
    <t>SB-00020211</t>
  </si>
  <si>
    <t>SB-00020212</t>
  </si>
  <si>
    <t>SB-00020213</t>
  </si>
  <si>
    <t>SB-00020214</t>
  </si>
  <si>
    <t>SB-00020215</t>
  </si>
  <si>
    <t>SB-00020216</t>
  </si>
  <si>
    <t>SB-00020217</t>
  </si>
  <si>
    <t>SB-00020218</t>
  </si>
  <si>
    <t>SB-00020219</t>
  </si>
  <si>
    <t>SB-00020220</t>
  </si>
  <si>
    <t>SB-00020221</t>
  </si>
  <si>
    <t>SB-00020222</t>
  </si>
  <si>
    <t>SB-00020223</t>
  </si>
  <si>
    <t>SB-00020224</t>
  </si>
  <si>
    <t>SB-00020225</t>
  </si>
  <si>
    <t>SB-00020226</t>
  </si>
  <si>
    <t>SB-00020227</t>
  </si>
  <si>
    <t>SB-00020228</t>
  </si>
  <si>
    <t>SB-00020229</t>
  </si>
  <si>
    <t>SB-00020230</t>
  </si>
  <si>
    <t>SB-00020231</t>
  </si>
  <si>
    <t>SB-00020232</t>
  </si>
  <si>
    <t>SB-00020233</t>
  </si>
  <si>
    <t>SB-00020234</t>
  </si>
  <si>
    <t>SB-00020235</t>
  </si>
  <si>
    <t>SB-00020236</t>
  </si>
  <si>
    <t>SB-00020237</t>
  </si>
  <si>
    <t>SB-00020238</t>
  </si>
  <si>
    <t>SB-00020239</t>
  </si>
  <si>
    <t>SB-00020240</t>
  </si>
  <si>
    <t>SB-00020241</t>
  </si>
  <si>
    <t>SB-00020242</t>
  </si>
  <si>
    <t>SB-00020243</t>
  </si>
  <si>
    <t>SB-00020244</t>
  </si>
  <si>
    <t>SB-00020245</t>
  </si>
  <si>
    <t>SB-00020246</t>
  </si>
  <si>
    <t>SB-00020247</t>
  </si>
  <si>
    <t>COB 2.0</t>
  </si>
  <si>
    <t>На всех фото представлена  оптика 45х140</t>
  </si>
  <si>
    <t>SB-00020173</t>
  </si>
  <si>
    <t>SB-00020174</t>
  </si>
  <si>
    <t>SB-00020175</t>
  </si>
  <si>
    <t>SB-00020176</t>
  </si>
  <si>
    <t>SB-00020177</t>
  </si>
  <si>
    <t>SB-00020178</t>
  </si>
  <si>
    <t>SB-00020179</t>
  </si>
  <si>
    <t>SB-00020180</t>
  </si>
  <si>
    <t>SB-00020181</t>
  </si>
  <si>
    <t>SB-00020182</t>
  </si>
  <si>
    <t>SB-00020183</t>
  </si>
  <si>
    <t>SB-00020184</t>
  </si>
  <si>
    <t>SB-00020185</t>
  </si>
  <si>
    <t>SB-00007887</t>
  </si>
  <si>
    <t>SB-00008989</t>
  </si>
  <si>
    <t>SB-00015524</t>
  </si>
  <si>
    <t>354х192х115</t>
  </si>
  <si>
    <t>404х192х115</t>
  </si>
  <si>
    <t>554х192х115</t>
  </si>
  <si>
    <t>704х192х115</t>
  </si>
  <si>
    <t>254х192х295</t>
  </si>
  <si>
    <t>354х192х295</t>
  </si>
  <si>
    <t>404х192х295</t>
  </si>
  <si>
    <t>554х192х295</t>
  </si>
  <si>
    <t>704х192х295</t>
  </si>
  <si>
    <t>254х192х184</t>
  </si>
  <si>
    <t>254х192х286</t>
  </si>
  <si>
    <t>354х192х286</t>
  </si>
  <si>
    <t>554х192х286</t>
  </si>
  <si>
    <t>704х192х286</t>
  </si>
  <si>
    <t>SVT-STR-VAR-102W-45x140-GL-VC</t>
  </si>
  <si>
    <t>SVT-STR-VAR-135W-45x140-GL-VC</t>
  </si>
  <si>
    <t>SVT-STR-VAR-156W-45x140-GL-VC</t>
  </si>
  <si>
    <t>SVT-STR-VAR-210W-45x140-GL-VC</t>
  </si>
  <si>
    <t>SVT-STR-VAR-COB-120W-135x75-VC</t>
  </si>
  <si>
    <t>SVT-STR-VAR-COB-180W-135x75-VC</t>
  </si>
  <si>
    <t>SVT-STR-VAR-COB-240W-135x75-VC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</si>
</sst>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F800]dddd\,\ mmmm\ dd\,\ yyyy"/>
    <numFmt numFmtId="165" formatCode="0.000"/>
  </numFmts>
  <fonts count="4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theme="10"/>
      <name val="Arial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b/>
      <sz val="14"/>
      <color theme="4" tint="-0.249977111117893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4"/>
      <color theme="4" tint="-0.249977111117893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rgb="FF0070C0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8"/>
      <color rgb="FF0070C0"/>
      <name val="Calibri"/>
      <family val="2"/>
      <charset val="204"/>
      <scheme val="minor"/>
    </font>
    <font>
      <sz val="14"/>
      <color rgb="FFC00000"/>
      <name val="Calibri"/>
      <family val="2"/>
      <charset val="204"/>
      <scheme val="minor"/>
    </font>
    <font>
      <sz val="20"/>
      <color rgb="FF0070C0"/>
      <name val="Calibri"/>
      <family val="2"/>
      <charset val="204"/>
      <scheme val="minor"/>
    </font>
    <font>
      <i/>
      <sz val="16"/>
      <color theme="1"/>
      <name val="Calibri"/>
      <family val="2"/>
      <charset val="204"/>
      <scheme val="minor"/>
    </font>
    <font>
      <u/>
      <sz val="18"/>
      <color theme="1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u/>
      <sz val="11"/>
      <color rgb="FF0070C0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u/>
      <sz val="14"/>
      <color rgb="FF0070C0"/>
      <name val="Calibri"/>
      <family val="2"/>
      <charset val="204"/>
      <scheme val="minor"/>
    </font>
    <font>
      <sz val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278">
    <xf numFmtId="0" fontId="0" fillId="0" borderId="0" xfId="0"/>
    <xf numFmtId="0" fontId="0" fillId="0" borderId="0" xfId="0" applyAlignment="1">
      <alignment horizontal="center" vertical="center" wrapText="1"/>
    </xf>
    <xf numFmtId="3" fontId="0" fillId="0" borderId="0" xfId="0" applyNumberFormat="1" applyFill="1" applyAlignment="1">
      <alignment horizontal="center" vertical="center" wrapText="1"/>
    </xf>
    <xf numFmtId="1" fontId="0" fillId="0" borderId="0" xfId="0" applyNumberFormat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7" fillId="0" borderId="0" xfId="2" applyAlignment="1">
      <alignment horizontal="center" vertical="center"/>
    </xf>
    <xf numFmtId="9" fontId="0" fillId="0" borderId="0" xfId="1" applyFont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1" fontId="1" fillId="0" borderId="0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Border="1" applyAlignment="1">
      <alignment horizontal="center" vertical="center" wrapText="1"/>
    </xf>
    <xf numFmtId="1" fontId="0" fillId="0" borderId="0" xfId="0" applyNumberFormat="1" applyFill="1" applyBorder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horizontal="center" vertical="center" wrapText="1"/>
    </xf>
    <xf numFmtId="3" fontId="0" fillId="0" borderId="0" xfId="0" applyNumberFormat="1" applyFont="1" applyFill="1" applyAlignment="1">
      <alignment horizontal="center" vertical="center" wrapText="1"/>
    </xf>
    <xf numFmtId="0" fontId="3" fillId="0" borderId="0" xfId="0" applyFont="1"/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9" fillId="0" borderId="0" xfId="0" applyFont="1"/>
    <xf numFmtId="0" fontId="7" fillId="0" borderId="0" xfId="2"/>
    <xf numFmtId="0" fontId="0" fillId="0" borderId="1" xfId="0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4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14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4" fillId="3" borderId="0" xfId="0" applyFont="1" applyFill="1" applyAlignment="1">
      <alignment horizontal="center" vertical="center"/>
    </xf>
    <xf numFmtId="14" fontId="4" fillId="3" borderId="0" xfId="0" applyNumberFormat="1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0" fillId="0" borderId="0" xfId="0" applyAlignment="1">
      <alignment horizontal="left" indent="4"/>
    </xf>
    <xf numFmtId="0" fontId="0" fillId="0" borderId="0" xfId="0" applyAlignment="1">
      <alignment horizontal="left" indent="5"/>
    </xf>
    <xf numFmtId="0" fontId="0" fillId="0" borderId="0" xfId="0" applyAlignment="1">
      <alignment horizontal="left" indent="6"/>
    </xf>
    <xf numFmtId="0" fontId="0" fillId="0" borderId="0" xfId="0" applyAlignment="1">
      <alignment horizontal="left" indent="7"/>
    </xf>
    <xf numFmtId="0" fontId="0" fillId="0" borderId="0" xfId="0" applyAlignment="1">
      <alignment horizontal="left" indent="8"/>
    </xf>
    <xf numFmtId="0" fontId="0" fillId="0" borderId="0" xfId="0" applyAlignment="1">
      <alignment horizontal="left" indent="9"/>
    </xf>
    <xf numFmtId="0" fontId="0" fillId="0" borderId="0" xfId="0" applyAlignment="1">
      <alignment horizontal="left" indent="10"/>
    </xf>
    <xf numFmtId="0" fontId="0" fillId="2" borderId="0" xfId="0" applyFill="1" applyAlignment="1">
      <alignment horizontal="center"/>
    </xf>
    <xf numFmtId="14" fontId="0" fillId="0" borderId="0" xfId="0" applyNumberFormat="1" applyAlignment="1">
      <alignment horizontal="center"/>
    </xf>
    <xf numFmtId="0" fontId="15" fillId="0" borderId="0" xfId="0" applyFont="1" applyFill="1" applyAlignment="1">
      <alignment horizontal="left" vertical="center"/>
    </xf>
    <xf numFmtId="0" fontId="0" fillId="4" borderId="0" xfId="0" applyFill="1" applyAlignment="1">
      <alignment horizontal="center" vertical="center" wrapText="1"/>
    </xf>
    <xf numFmtId="0" fontId="0" fillId="4" borderId="0" xfId="0" applyFill="1" applyAlignment="1">
      <alignment horizontal="center" vertical="center"/>
    </xf>
    <xf numFmtId="1" fontId="0" fillId="0" borderId="0" xfId="0" applyNumberFormat="1" applyFont="1" applyBorder="1" applyAlignment="1">
      <alignment horizontal="center" vertical="center" wrapText="1"/>
    </xf>
    <xf numFmtId="0" fontId="7" fillId="0" borderId="0" xfId="2" applyAlignment="1">
      <alignment horizontal="center" vertical="center" wrapText="1"/>
    </xf>
    <xf numFmtId="0" fontId="17" fillId="5" borderId="0" xfId="0" applyFont="1" applyFill="1" applyAlignment="1">
      <alignment horizontal="center" vertical="center" wrapText="1"/>
    </xf>
    <xf numFmtId="3" fontId="17" fillId="5" borderId="0" xfId="0" applyNumberFormat="1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0" fillId="4" borderId="0" xfId="0" applyFont="1" applyFill="1" applyAlignment="1">
      <alignment horizontal="center" vertical="center" wrapText="1"/>
    </xf>
    <xf numFmtId="3" fontId="0" fillId="4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vertical="top" wrapText="1"/>
    </xf>
    <xf numFmtId="0" fontId="0" fillId="0" borderId="0" xfId="0" quotePrefix="1" applyNumberFormat="1" applyAlignment="1">
      <alignment horizontal="center" vertical="center"/>
    </xf>
    <xf numFmtId="0" fontId="18" fillId="4" borderId="0" xfId="0" applyFont="1" applyFill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9" fillId="4" borderId="0" xfId="0" applyFont="1" applyFill="1" applyAlignment="1">
      <alignment vertical="center"/>
    </xf>
    <xf numFmtId="0" fontId="2" fillId="4" borderId="0" xfId="0" applyFont="1" applyFill="1" applyAlignment="1">
      <alignment horizontal="left" vertical="center"/>
    </xf>
    <xf numFmtId="3" fontId="17" fillId="0" borderId="0" xfId="0" applyNumberFormat="1" applyFont="1" applyFill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1" fontId="0" fillId="0" borderId="0" xfId="0" applyNumberFormat="1" applyAlignment="1">
      <alignment horizontal="center" vertical="center"/>
    </xf>
    <xf numFmtId="1" fontId="0" fillId="4" borderId="0" xfId="0" applyNumberFormat="1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3" borderId="0" xfId="0" applyFill="1"/>
    <xf numFmtId="0" fontId="12" fillId="3" borderId="0" xfId="0" applyFont="1" applyFill="1" applyBorder="1" applyAlignment="1">
      <alignment horizontal="left" vertical="center"/>
    </xf>
    <xf numFmtId="0" fontId="13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Fill="1" applyAlignment="1">
      <alignment horizontal="center"/>
    </xf>
    <xf numFmtId="164" fontId="13" fillId="3" borderId="0" xfId="0" applyNumberFormat="1" applyFont="1" applyFill="1" applyBorder="1" applyAlignment="1">
      <alignment vertical="center"/>
    </xf>
    <xf numFmtId="14" fontId="12" fillId="3" borderId="0" xfId="0" applyNumberFormat="1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top"/>
    </xf>
    <xf numFmtId="0" fontId="5" fillId="4" borderId="0" xfId="0" applyFont="1" applyFill="1" applyAlignment="1">
      <alignment horizontal="left" vertical="center"/>
    </xf>
    <xf numFmtId="0" fontId="0" fillId="6" borderId="0" xfId="0" applyFill="1" applyAlignment="1">
      <alignment horizontal="center" vertical="center" wrapText="1"/>
    </xf>
    <xf numFmtId="0" fontId="0" fillId="6" borderId="0" xfId="0" applyFill="1" applyAlignment="1">
      <alignment horizontal="center" vertical="center"/>
    </xf>
    <xf numFmtId="0" fontId="5" fillId="3" borderId="0" xfId="0" applyFont="1" applyFill="1" applyBorder="1" applyAlignment="1">
      <alignment horizontal="left" vertical="center"/>
    </xf>
    <xf numFmtId="0" fontId="0" fillId="3" borderId="0" xfId="0" applyFill="1" applyAlignment="1">
      <alignment horizontal="center" vertical="center" wrapText="1"/>
    </xf>
    <xf numFmtId="1" fontId="0" fillId="6" borderId="0" xfId="0" applyNumberFormat="1" applyFill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" fontId="0" fillId="6" borderId="0" xfId="0" applyNumberFormat="1" applyFill="1" applyAlignment="1">
      <alignment horizontal="center" vertical="center" wrapText="1"/>
    </xf>
    <xf numFmtId="3" fontId="0" fillId="6" borderId="0" xfId="0" applyNumberFormat="1" applyFill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0" fillId="6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top" wrapText="1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top" wrapText="1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top" wrapText="1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top" wrapText="1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top" wrapText="1"/>
    </xf>
    <xf numFmtId="14" fontId="4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14" fontId="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6" borderId="0" xfId="0" applyFont="1" applyFill="1" applyAlignment="1">
      <alignment horizontal="center" vertical="center" wrapText="1"/>
    </xf>
    <xf numFmtId="17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 shrinkToFit="1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Fill="1" applyAlignment="1">
      <alignment horizontal="center" vertical="center" wrapText="1"/>
    </xf>
    <xf numFmtId="0" fontId="0" fillId="3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1" fontId="0" fillId="4" borderId="0" xfId="0" applyNumberFormat="1" applyFont="1" applyFill="1" applyAlignment="1">
      <alignment horizontal="center" vertical="center"/>
    </xf>
    <xf numFmtId="0" fontId="0" fillId="3" borderId="0" xfId="0" applyFont="1" applyFill="1" applyAlignment="1">
      <alignment horizontal="center" vertical="center"/>
    </xf>
    <xf numFmtId="2" fontId="0" fillId="3" borderId="0" xfId="0" applyNumberFormat="1" applyFont="1" applyFill="1" applyAlignment="1">
      <alignment horizontal="center" vertical="center"/>
    </xf>
    <xf numFmtId="1" fontId="0" fillId="0" borderId="0" xfId="0" applyNumberFormat="1" applyFont="1" applyFill="1" applyAlignment="1">
      <alignment horizontal="center" vertical="center"/>
    </xf>
    <xf numFmtId="3" fontId="0" fillId="0" borderId="0" xfId="0" applyNumberFormat="1" applyFont="1" applyFill="1" applyAlignment="1">
      <alignment horizontal="center" vertical="center"/>
    </xf>
    <xf numFmtId="165" fontId="0" fillId="0" borderId="0" xfId="0" applyNumberFormat="1" applyFont="1" applyFill="1" applyAlignment="1">
      <alignment horizontal="center" vertical="center"/>
    </xf>
    <xf numFmtId="1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1" fontId="0" fillId="0" borderId="0" xfId="0" applyNumberFormat="1" applyFont="1" applyFill="1" applyBorder="1" applyAlignment="1">
      <alignment horizontal="center" vertical="center"/>
    </xf>
    <xf numFmtId="3" fontId="0" fillId="0" borderId="0" xfId="0" applyNumberFormat="1" applyFont="1" applyFill="1" applyBorder="1" applyAlignment="1">
      <alignment horizontal="center" vertical="center"/>
    </xf>
    <xf numFmtId="0" fontId="0" fillId="6" borderId="0" xfId="0" applyFont="1" applyFill="1" applyAlignment="1">
      <alignment horizontal="center" vertical="center"/>
    </xf>
    <xf numFmtId="1" fontId="0" fillId="6" borderId="0" xfId="0" applyNumberFormat="1" applyFont="1" applyFill="1" applyAlignment="1">
      <alignment horizontal="center" vertical="center"/>
    </xf>
    <xf numFmtId="1" fontId="0" fillId="0" borderId="0" xfId="0" applyNumberFormat="1" applyFont="1" applyAlignment="1">
      <alignment horizontal="center" vertical="center" wrapText="1"/>
    </xf>
    <xf numFmtId="0" fontId="0" fillId="0" borderId="0" xfId="0" applyFont="1"/>
    <xf numFmtId="2" fontId="0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1" fillId="6" borderId="0" xfId="0" applyFont="1" applyFill="1" applyAlignment="1">
      <alignment horizontal="center" vertical="center"/>
    </xf>
    <xf numFmtId="0" fontId="30" fillId="6" borderId="0" xfId="0" applyFont="1" applyFill="1" applyAlignment="1">
      <alignment horizontal="center" vertical="center" wrapText="1"/>
    </xf>
    <xf numFmtId="0" fontId="30" fillId="6" borderId="0" xfId="0" applyFont="1" applyFill="1" applyAlignment="1">
      <alignment horizontal="center" vertical="center"/>
    </xf>
    <xf numFmtId="0" fontId="0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/>
    <xf numFmtId="0" fontId="2" fillId="6" borderId="0" xfId="0" applyFont="1" applyFill="1" applyAlignment="1">
      <alignment horizontal="center" vertical="center" wrapText="1"/>
    </xf>
    <xf numFmtId="0" fontId="27" fillId="6" borderId="0" xfId="0" applyFont="1" applyFill="1" applyAlignment="1">
      <alignment horizontal="center" vertical="center" wrapText="1"/>
    </xf>
    <xf numFmtId="0" fontId="2" fillId="0" borderId="0" xfId="0" applyFont="1"/>
    <xf numFmtId="0" fontId="34" fillId="3" borderId="0" xfId="0" applyFont="1" applyFill="1" applyAlignment="1">
      <alignment horizontal="left" vertical="center"/>
    </xf>
    <xf numFmtId="0" fontId="35" fillId="3" borderId="0" xfId="0" applyFont="1" applyFill="1" applyAlignment="1">
      <alignment horizontal="center" vertical="center" wrapText="1"/>
    </xf>
    <xf numFmtId="0" fontId="33" fillId="3" borderId="0" xfId="0" applyFont="1" applyFill="1" applyAlignment="1">
      <alignment horizontal="center" vertical="center"/>
    </xf>
    <xf numFmtId="1" fontId="0" fillId="3" borderId="0" xfId="0" applyNumberFormat="1" applyFont="1" applyFill="1" applyAlignment="1">
      <alignment horizontal="center" vertical="center"/>
    </xf>
    <xf numFmtId="0" fontId="32" fillId="4" borderId="0" xfId="0" applyFont="1" applyFill="1" applyAlignment="1">
      <alignment horizontal="left" vertical="center"/>
    </xf>
    <xf numFmtId="0" fontId="32" fillId="0" borderId="0" xfId="0" applyFont="1" applyFill="1" applyAlignment="1">
      <alignment horizontal="left" vertical="center"/>
    </xf>
    <xf numFmtId="0" fontId="32" fillId="4" borderId="0" xfId="0" applyFont="1" applyFill="1" applyBorder="1" applyAlignment="1">
      <alignment horizontal="left" vertical="center"/>
    </xf>
    <xf numFmtId="0" fontId="32" fillId="4" borderId="0" xfId="0" applyFont="1" applyFill="1" applyAlignment="1">
      <alignment vertical="center"/>
    </xf>
    <xf numFmtId="0" fontId="36" fillId="6" borderId="0" xfId="0" applyFont="1" applyFill="1" applyAlignment="1">
      <alignment horizontal="left" vertical="center"/>
    </xf>
    <xf numFmtId="0" fontId="29" fillId="6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7" fillId="6" borderId="0" xfId="0" applyFont="1" applyFill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0" fillId="6" borderId="0" xfId="0" applyFont="1" applyFill="1" applyBorder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0" fontId="0" fillId="0" borderId="2" xfId="0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 wrapText="1"/>
    </xf>
    <xf numFmtId="0" fontId="37" fillId="3" borderId="0" xfId="2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32" fillId="0" borderId="0" xfId="0" applyFont="1" applyFill="1" applyBorder="1" applyAlignment="1">
      <alignment horizontal="left" vertical="center"/>
    </xf>
    <xf numFmtId="14" fontId="4" fillId="0" borderId="0" xfId="0" applyNumberFormat="1" applyFont="1" applyAlignment="1">
      <alignment horizontal="center" vertical="center"/>
    </xf>
    <xf numFmtId="0" fontId="32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center" vertical="center" wrapText="1"/>
    </xf>
    <xf numFmtId="0" fontId="32" fillId="3" borderId="0" xfId="0" applyFont="1" applyFill="1" applyAlignment="1">
      <alignment horizontal="left" vertical="center" wrapText="1"/>
    </xf>
    <xf numFmtId="0" fontId="32" fillId="3" borderId="0" xfId="0" applyFont="1" applyFill="1" applyAlignment="1">
      <alignment horizontal="left" wrapText="1"/>
    </xf>
    <xf numFmtId="0" fontId="2" fillId="3" borderId="0" xfId="0" applyFont="1" applyFill="1" applyBorder="1" applyAlignment="1">
      <alignment horizontal="center" vertical="center" wrapText="1"/>
    </xf>
    <xf numFmtId="0" fontId="38" fillId="3" borderId="0" xfId="0" applyFont="1" applyFill="1" applyAlignment="1">
      <alignment horizontal="center" vertical="center"/>
    </xf>
    <xf numFmtId="0" fontId="38" fillId="0" borderId="2" xfId="0" applyFont="1" applyFill="1" applyBorder="1" applyAlignment="1">
      <alignment horizontal="center" vertical="center" wrapText="1"/>
    </xf>
    <xf numFmtId="0" fontId="38" fillId="6" borderId="0" xfId="0" applyFont="1" applyFill="1" applyAlignment="1">
      <alignment horizontal="center" vertical="center"/>
    </xf>
    <xf numFmtId="0" fontId="38" fillId="4" borderId="0" xfId="0" applyFont="1" applyFill="1" applyAlignment="1">
      <alignment horizontal="center" vertical="center"/>
    </xf>
    <xf numFmtId="0" fontId="39" fillId="0" borderId="0" xfId="2" applyFont="1" applyAlignment="1">
      <alignment horizontal="center" vertical="center"/>
    </xf>
    <xf numFmtId="0" fontId="39" fillId="4" borderId="0" xfId="2" applyFont="1" applyFill="1" applyAlignment="1">
      <alignment horizontal="center" vertical="center"/>
    </xf>
    <xf numFmtId="0" fontId="39" fillId="0" borderId="0" xfId="2" applyFont="1" applyFill="1" applyAlignment="1">
      <alignment horizontal="center" vertical="center"/>
    </xf>
    <xf numFmtId="0" fontId="39" fillId="6" borderId="0" xfId="2" applyFont="1" applyFill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39" fillId="0" borderId="0" xfId="2" applyFont="1" applyBorder="1" applyAlignment="1">
      <alignment horizontal="center" vertical="center"/>
    </xf>
    <xf numFmtId="0" fontId="38" fillId="0" borderId="0" xfId="0" applyFont="1"/>
    <xf numFmtId="0" fontId="28" fillId="0" borderId="0" xfId="2" applyFont="1" applyFill="1" applyAlignment="1">
      <alignment horizontal="center" vertical="center"/>
    </xf>
    <xf numFmtId="0" fontId="41" fillId="0" borderId="0" xfId="0" applyFont="1" applyFill="1" applyAlignment="1">
      <alignment horizontal="center" vertical="center" wrapText="1"/>
    </xf>
    <xf numFmtId="14" fontId="4" fillId="0" borderId="0" xfId="0" applyNumberFormat="1" applyFont="1" applyAlignment="1">
      <alignment horizontal="center" vertical="center"/>
    </xf>
    <xf numFmtId="0" fontId="40" fillId="0" borderId="0" xfId="2" applyFont="1" applyFill="1" applyAlignment="1">
      <alignment horizontal="center" vertical="center"/>
    </xf>
    <xf numFmtId="1" fontId="16" fillId="0" borderId="0" xfId="0" applyNumberFormat="1" applyFont="1" applyFill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42" fillId="6" borderId="0" xfId="0" applyFont="1" applyFill="1" applyAlignment="1">
      <alignment horizontal="center" vertical="center"/>
    </xf>
    <xf numFmtId="3" fontId="42" fillId="0" borderId="0" xfId="0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36" fillId="0" borderId="0" xfId="0" applyFont="1" applyFill="1" applyAlignment="1">
      <alignment horizontal="left" vertical="center" wrapText="1"/>
    </xf>
    <xf numFmtId="0" fontId="38" fillId="0" borderId="0" xfId="0" applyFont="1" applyFill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 wrapText="1" shrinkToFit="1"/>
    </xf>
    <xf numFmtId="0" fontId="43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center" vertical="center" wrapText="1"/>
    </xf>
    <xf numFmtId="0" fontId="43" fillId="7" borderId="0" xfId="0" applyFont="1" applyFill="1" applyAlignment="1">
      <alignment horizontal="center" vertical="center"/>
    </xf>
    <xf numFmtId="0" fontId="0" fillId="0" borderId="0" xfId="0" quotePrefix="1" applyAlignment="1">
      <alignment horizontal="center"/>
    </xf>
    <xf numFmtId="0" fontId="0" fillId="0" borderId="0" xfId="0" quotePrefix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6" borderId="0" xfId="0" quotePrefix="1" applyFill="1" applyAlignment="1">
      <alignment horizontal="center" vertical="center"/>
    </xf>
    <xf numFmtId="0" fontId="0" fillId="0" borderId="0" xfId="0" applyFill="1"/>
    <xf numFmtId="0" fontId="45" fillId="0" borderId="0" xfId="2" applyFont="1" applyFill="1"/>
    <xf numFmtId="0" fontId="0" fillId="0" borderId="0" xfId="0" applyAlignment="1">
      <alignment horizontal="center" vertical="center"/>
    </xf>
    <xf numFmtId="0" fontId="0" fillId="0" borderId="0" xfId="0" applyFill="1" applyAlignment="1"/>
    <xf numFmtId="0" fontId="0" fillId="0" borderId="0" xfId="0" applyAlignment="1">
      <alignment horizontal="center" vertical="center"/>
    </xf>
    <xf numFmtId="0" fontId="7" fillId="0" borderId="0" xfId="2" applyFill="1" applyAlignment="1">
      <alignment horizontal="center" vertical="center"/>
    </xf>
    <xf numFmtId="0" fontId="7" fillId="6" borderId="0" xfId="2" applyFill="1" applyAlignment="1">
      <alignment horizontal="center" vertical="center"/>
    </xf>
    <xf numFmtId="0" fontId="7" fillId="0" borderId="0" xfId="2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49" fontId="4" fillId="0" borderId="0" xfId="0" applyNumberFormat="1" applyFont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2" fillId="3" borderId="0" xfId="0" applyFont="1" applyFill="1" applyBorder="1" applyAlignment="1">
      <alignment horizontal="left" vertical="center"/>
    </xf>
  </cellXfs>
  <cellStyles count="3">
    <cellStyle name="Гиперссылка" xfId="2" builtinId="8"/>
    <cellStyle name="Обычный" xfId="0" builtinId="0"/>
    <cellStyle name="Процентный" xfId="1" builtinId="5"/>
  </cellStyles>
  <dxfs count="982"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6600FF"/>
      <color rgb="FF993300"/>
      <color rgb="FFFF3300"/>
      <color rgb="FFCE525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png"/><Relationship Id="rId475" Type="http://schemas.openxmlformats.org/officeDocument/2006/relationships/image" Target="../media/image475.jpeg"/><Relationship Id="rId32" Type="http://schemas.openxmlformats.org/officeDocument/2006/relationships/image" Target="../media/image32.pn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pn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pn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png"/><Relationship Id="rId96" Type="http://schemas.openxmlformats.org/officeDocument/2006/relationships/image" Target="../media/image96.jpeg"/><Relationship Id="rId161" Type="http://schemas.openxmlformats.org/officeDocument/2006/relationships/image" Target="../media/image161.pn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pn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pn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pn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png"/><Relationship Id="rId488" Type="http://schemas.openxmlformats.org/officeDocument/2006/relationships/image" Target="../media/image488.jpeg"/><Relationship Id="rId45" Type="http://schemas.openxmlformats.org/officeDocument/2006/relationships/image" Target="../media/image45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jpe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8" Type="http://schemas.openxmlformats.org/officeDocument/2006/relationships/image" Target="../media/image8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pn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png"/><Relationship Id="rId489" Type="http://schemas.openxmlformats.org/officeDocument/2006/relationships/image" Target="../media/image489.jpe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jpe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pn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png"/><Relationship Id="rId490" Type="http://schemas.openxmlformats.org/officeDocument/2006/relationships/image" Target="../media/image490.jpeg"/><Relationship Id="rId504" Type="http://schemas.openxmlformats.org/officeDocument/2006/relationships/image" Target="../media/image504.png"/><Relationship Id="rId525" Type="http://schemas.openxmlformats.org/officeDocument/2006/relationships/image" Target="../media/image525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png"/><Relationship Id="rId448" Type="http://schemas.openxmlformats.org/officeDocument/2006/relationships/image" Target="../media/image448.jpe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pn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pn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pn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png"/><Relationship Id="rId491" Type="http://schemas.openxmlformats.org/officeDocument/2006/relationships/image" Target="../media/image491.jpeg"/><Relationship Id="rId505" Type="http://schemas.openxmlformats.org/officeDocument/2006/relationships/image" Target="../media/image505.png"/><Relationship Id="rId526" Type="http://schemas.openxmlformats.org/officeDocument/2006/relationships/image" Target="../media/image526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pn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jpe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jpeg"/><Relationship Id="rId461" Type="http://schemas.openxmlformats.org/officeDocument/2006/relationships/image" Target="../media/image461.pn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60" Type="http://schemas.openxmlformats.org/officeDocument/2006/relationships/image" Target="../media/image60.pn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jpeg"/><Relationship Id="rId451" Type="http://schemas.openxmlformats.org/officeDocument/2006/relationships/image" Target="../media/image451.pn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0" Type="http://schemas.openxmlformats.org/officeDocument/2006/relationships/image" Target="../media/image50.pn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jpeg"/><Relationship Id="rId276" Type="http://schemas.openxmlformats.org/officeDocument/2006/relationships/image" Target="../media/image276.pn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pn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40" Type="http://schemas.openxmlformats.org/officeDocument/2006/relationships/image" Target="../media/image40.pn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pn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png"/><Relationship Id="rId30" Type="http://schemas.openxmlformats.org/officeDocument/2006/relationships/image" Target="../media/image3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png"/><Relationship Id="rId298" Type="http://schemas.openxmlformats.org/officeDocument/2006/relationships/image" Target="../media/image298.jpeg"/><Relationship Id="rId400" Type="http://schemas.openxmlformats.org/officeDocument/2006/relationships/image" Target="../media/image400.pn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pn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pn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4" Type="http://schemas.openxmlformats.org/officeDocument/2006/relationships/image" Target="../media/image4.pn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pn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216" Type="http://schemas.openxmlformats.org/officeDocument/2006/relationships/image" Target="../media/image216.jpe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png"/><Relationship Id="rId367" Type="http://schemas.openxmlformats.org/officeDocument/2006/relationships/image" Target="../media/image367.jpeg"/><Relationship Id="rId171" Type="http://schemas.openxmlformats.org/officeDocument/2006/relationships/image" Target="../media/image171.png"/><Relationship Id="rId227" Type="http://schemas.openxmlformats.org/officeDocument/2006/relationships/image" Target="../media/image227.jpeg"/><Relationship Id="rId269" Type="http://schemas.openxmlformats.org/officeDocument/2006/relationships/image" Target="../media/image269.pn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png"/><Relationship Id="rId129" Type="http://schemas.openxmlformats.org/officeDocument/2006/relationships/image" Target="../media/image129.jpeg"/><Relationship Id="rId280" Type="http://schemas.openxmlformats.org/officeDocument/2006/relationships/image" Target="../media/image280.pn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pn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png"/><Relationship Id="rId347" Type="http://schemas.openxmlformats.org/officeDocument/2006/relationships/image" Target="../media/image347.jpe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pn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png"/><Relationship Id="rId369" Type="http://schemas.openxmlformats.org/officeDocument/2006/relationships/image" Target="../media/image369.jpeg"/><Relationship Id="rId173" Type="http://schemas.openxmlformats.org/officeDocument/2006/relationships/image" Target="../media/image173.pn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pn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503" Type="http://schemas.openxmlformats.org/officeDocument/2006/relationships/image" Target="../media/image50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4.png"/><Relationship Id="rId13" Type="http://schemas.openxmlformats.org/officeDocument/2006/relationships/image" Target="../media/image539.png"/><Relationship Id="rId18" Type="http://schemas.openxmlformats.org/officeDocument/2006/relationships/image" Target="../media/image544.png"/><Relationship Id="rId3" Type="http://schemas.openxmlformats.org/officeDocument/2006/relationships/image" Target="../media/image529.png"/><Relationship Id="rId21" Type="http://schemas.openxmlformats.org/officeDocument/2006/relationships/image" Target="../media/image547.png"/><Relationship Id="rId7" Type="http://schemas.openxmlformats.org/officeDocument/2006/relationships/image" Target="../media/image533.png"/><Relationship Id="rId12" Type="http://schemas.openxmlformats.org/officeDocument/2006/relationships/image" Target="../media/image538.png"/><Relationship Id="rId17" Type="http://schemas.openxmlformats.org/officeDocument/2006/relationships/image" Target="../media/image543.png"/><Relationship Id="rId2" Type="http://schemas.openxmlformats.org/officeDocument/2006/relationships/image" Target="../media/image528.png"/><Relationship Id="rId16" Type="http://schemas.openxmlformats.org/officeDocument/2006/relationships/image" Target="../media/image542.png"/><Relationship Id="rId20" Type="http://schemas.openxmlformats.org/officeDocument/2006/relationships/image" Target="../media/image546.png"/><Relationship Id="rId1" Type="http://schemas.openxmlformats.org/officeDocument/2006/relationships/image" Target="../media/image527.png"/><Relationship Id="rId6" Type="http://schemas.openxmlformats.org/officeDocument/2006/relationships/image" Target="../media/image532.jpeg"/><Relationship Id="rId11" Type="http://schemas.openxmlformats.org/officeDocument/2006/relationships/image" Target="../media/image537.png"/><Relationship Id="rId5" Type="http://schemas.openxmlformats.org/officeDocument/2006/relationships/image" Target="../media/image531.png"/><Relationship Id="rId15" Type="http://schemas.openxmlformats.org/officeDocument/2006/relationships/image" Target="../media/image541.png"/><Relationship Id="rId23" Type="http://schemas.openxmlformats.org/officeDocument/2006/relationships/image" Target="../media/image549.png"/><Relationship Id="rId10" Type="http://schemas.openxmlformats.org/officeDocument/2006/relationships/image" Target="../media/image536.png"/><Relationship Id="rId19" Type="http://schemas.openxmlformats.org/officeDocument/2006/relationships/image" Target="../media/image545.png"/><Relationship Id="rId4" Type="http://schemas.openxmlformats.org/officeDocument/2006/relationships/image" Target="../media/image530.jpeg"/><Relationship Id="rId9" Type="http://schemas.openxmlformats.org/officeDocument/2006/relationships/image" Target="../media/image535.png"/><Relationship Id="rId14" Type="http://schemas.openxmlformats.org/officeDocument/2006/relationships/image" Target="../media/image540.png"/><Relationship Id="rId22" Type="http://schemas.openxmlformats.org/officeDocument/2006/relationships/image" Target="../media/image54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2.jpeg"/><Relationship Id="rId2" Type="http://schemas.openxmlformats.org/officeDocument/2006/relationships/image" Target="../media/image551.jpg"/><Relationship Id="rId1" Type="http://schemas.openxmlformats.org/officeDocument/2006/relationships/image" Target="../media/image550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5.png"/><Relationship Id="rId1" Type="http://schemas.openxmlformats.org/officeDocument/2006/relationships/image" Target="../media/image55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7.png"/><Relationship Id="rId3" Type="http://schemas.openxmlformats.org/officeDocument/2006/relationships/image" Target="../media/image261.png"/><Relationship Id="rId7" Type="http://schemas.openxmlformats.org/officeDocument/2006/relationships/image" Target="../media/image266.png"/><Relationship Id="rId2" Type="http://schemas.openxmlformats.org/officeDocument/2006/relationships/image" Target="../media/image260.png"/><Relationship Id="rId1" Type="http://schemas.openxmlformats.org/officeDocument/2006/relationships/image" Target="../media/image259.png"/><Relationship Id="rId6" Type="http://schemas.openxmlformats.org/officeDocument/2006/relationships/image" Target="../media/image264.png"/><Relationship Id="rId5" Type="http://schemas.openxmlformats.org/officeDocument/2006/relationships/image" Target="../media/image263.png"/><Relationship Id="rId4" Type="http://schemas.openxmlformats.org/officeDocument/2006/relationships/image" Target="../media/image2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209549</xdr:rowOff>
    </xdr:from>
    <xdr:to>
      <xdr:col>0</xdr:col>
      <xdr:colOff>2390947</xdr:colOff>
      <xdr:row>6</xdr:row>
      <xdr:rowOff>448235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57" r="16211"/>
        <a:stretch/>
      </xdr:blipFill>
      <xdr:spPr>
        <a:xfrm>
          <a:off x="0" y="1722343"/>
          <a:ext cx="2390947" cy="1247216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13</xdr:row>
      <xdr:rowOff>342901</xdr:rowOff>
    </xdr:from>
    <xdr:to>
      <xdr:col>1</xdr:col>
      <xdr:colOff>33617</xdr:colOff>
      <xdr:row>16</xdr:row>
      <xdr:rowOff>120490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38" r="16211"/>
        <a:stretch/>
      </xdr:blipFill>
      <xdr:spPr>
        <a:xfrm>
          <a:off x="28575" y="6394077"/>
          <a:ext cx="2425513" cy="1290384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19</xdr:row>
      <xdr:rowOff>123825</xdr:rowOff>
    </xdr:from>
    <xdr:to>
      <xdr:col>1</xdr:col>
      <xdr:colOff>1</xdr:colOff>
      <xdr:row>21</xdr:row>
      <xdr:rowOff>293539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89" t="7293" r="11719" b="12500"/>
        <a:stretch/>
      </xdr:blipFill>
      <xdr:spPr>
        <a:xfrm>
          <a:off x="28576" y="9200590"/>
          <a:ext cx="2391896" cy="1178243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9</xdr:row>
      <xdr:rowOff>28574</xdr:rowOff>
    </xdr:from>
    <xdr:to>
      <xdr:col>1</xdr:col>
      <xdr:colOff>0</xdr:colOff>
      <xdr:row>11</xdr:row>
      <xdr:rowOff>322738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11" r="16602"/>
        <a:stretch/>
      </xdr:blipFill>
      <xdr:spPr>
        <a:xfrm>
          <a:off x="66674" y="4062692"/>
          <a:ext cx="2353797" cy="1302693"/>
        </a:xfrm>
        <a:prstGeom prst="rect">
          <a:avLst/>
        </a:prstGeom>
      </xdr:spPr>
    </xdr:pic>
    <xdr:clientData/>
  </xdr:twoCellAnchor>
  <xdr:twoCellAnchor>
    <xdr:from>
      <xdr:col>0</xdr:col>
      <xdr:colOff>24849</xdr:colOff>
      <xdr:row>25</xdr:row>
      <xdr:rowOff>0</xdr:rowOff>
    </xdr:from>
    <xdr:to>
      <xdr:col>0</xdr:col>
      <xdr:colOff>834849</xdr:colOff>
      <xdr:row>25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20697825"/>
          <a:ext cx="810000" cy="0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172</xdr:row>
      <xdr:rowOff>0</xdr:rowOff>
    </xdr:from>
    <xdr:to>
      <xdr:col>0</xdr:col>
      <xdr:colOff>832412</xdr:colOff>
      <xdr:row>172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2" y="94907100"/>
          <a:ext cx="810000" cy="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26</xdr:row>
      <xdr:rowOff>57150</xdr:rowOff>
    </xdr:from>
    <xdr:to>
      <xdr:col>0</xdr:col>
      <xdr:colOff>797282</xdr:colOff>
      <xdr:row>26</xdr:row>
      <xdr:rowOff>447226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1259800"/>
          <a:ext cx="692507" cy="390076"/>
        </a:xfrm>
        <a:prstGeom prst="rect">
          <a:avLst/>
        </a:prstGeom>
      </xdr:spPr>
    </xdr:pic>
    <xdr:clientData/>
  </xdr:twoCellAnchor>
  <xdr:twoCellAnchor>
    <xdr:from>
      <xdr:col>0</xdr:col>
      <xdr:colOff>16650</xdr:colOff>
      <xdr:row>26</xdr:row>
      <xdr:rowOff>502425</xdr:rowOff>
    </xdr:from>
    <xdr:to>
      <xdr:col>0</xdr:col>
      <xdr:colOff>1400735</xdr:colOff>
      <xdr:row>27</xdr:row>
      <xdr:rowOff>501976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0" y="13277131"/>
          <a:ext cx="1384085" cy="5038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14250</xdr:rowOff>
    </xdr:from>
    <xdr:to>
      <xdr:col>0</xdr:col>
      <xdr:colOff>1557618</xdr:colOff>
      <xdr:row>29</xdr:row>
      <xdr:rowOff>13801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97485"/>
          <a:ext cx="1557618" cy="5038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2325</xdr:rowOff>
    </xdr:from>
    <xdr:to>
      <xdr:col>0</xdr:col>
      <xdr:colOff>1781735</xdr:colOff>
      <xdr:row>30</xdr:row>
      <xdr:rowOff>1876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289825"/>
          <a:ext cx="1781735" cy="5038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9450</xdr:rowOff>
    </xdr:from>
    <xdr:to>
      <xdr:col>0</xdr:col>
      <xdr:colOff>1905000</xdr:colOff>
      <xdr:row>31</xdr:row>
      <xdr:rowOff>9001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01215"/>
          <a:ext cx="1905000" cy="50381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</xdr:row>
      <xdr:rowOff>212911</xdr:rowOff>
    </xdr:from>
    <xdr:to>
      <xdr:col>1</xdr:col>
      <xdr:colOff>448235</xdr:colOff>
      <xdr:row>33</xdr:row>
      <xdr:rowOff>481853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49470"/>
          <a:ext cx="2868706" cy="127747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34</xdr:row>
      <xdr:rowOff>212914</xdr:rowOff>
    </xdr:from>
    <xdr:to>
      <xdr:col>1</xdr:col>
      <xdr:colOff>134470</xdr:colOff>
      <xdr:row>37</xdr:row>
      <xdr:rowOff>232116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62" r="17969"/>
        <a:stretch/>
      </xdr:blipFill>
      <xdr:spPr>
        <a:xfrm>
          <a:off x="1" y="7362267"/>
          <a:ext cx="2554940" cy="153199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112058</xdr:rowOff>
    </xdr:from>
    <xdr:to>
      <xdr:col>1</xdr:col>
      <xdr:colOff>112058</xdr:colOff>
      <xdr:row>39</xdr:row>
      <xdr:rowOff>263663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94" r="17553" b="17844"/>
        <a:stretch/>
      </xdr:blipFill>
      <xdr:spPr>
        <a:xfrm>
          <a:off x="0" y="18433676"/>
          <a:ext cx="2532529" cy="11601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</xdr:row>
      <xdr:rowOff>231402</xdr:rowOff>
    </xdr:from>
    <xdr:to>
      <xdr:col>0</xdr:col>
      <xdr:colOff>2406907</xdr:colOff>
      <xdr:row>43</xdr:row>
      <xdr:rowOff>280147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35" t="10402" r="25049" b="19817"/>
        <a:stretch/>
      </xdr:blipFill>
      <xdr:spPr>
        <a:xfrm>
          <a:off x="0" y="20570078"/>
          <a:ext cx="2406907" cy="1057275"/>
        </a:xfrm>
        <a:prstGeom prst="rect">
          <a:avLst/>
        </a:prstGeom>
      </xdr:spPr>
    </xdr:pic>
    <xdr:clientData/>
  </xdr:twoCellAnchor>
  <xdr:twoCellAnchor>
    <xdr:from>
      <xdr:col>0</xdr:col>
      <xdr:colOff>64434</xdr:colOff>
      <xdr:row>44</xdr:row>
      <xdr:rowOff>296955</xdr:rowOff>
    </xdr:from>
    <xdr:to>
      <xdr:col>1</xdr:col>
      <xdr:colOff>56029</xdr:colOff>
      <xdr:row>46</xdr:row>
      <xdr:rowOff>383513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94" t="9211" r="23035" b="18840"/>
        <a:stretch/>
      </xdr:blipFill>
      <xdr:spPr>
        <a:xfrm>
          <a:off x="64434" y="22148426"/>
          <a:ext cx="2412066" cy="10950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</xdr:row>
      <xdr:rowOff>161366</xdr:rowOff>
    </xdr:from>
    <xdr:to>
      <xdr:col>1</xdr:col>
      <xdr:colOff>344215</xdr:colOff>
      <xdr:row>50</xdr:row>
      <xdr:rowOff>134471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29895"/>
          <a:ext cx="2764686" cy="9816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51</xdr:row>
      <xdr:rowOff>159524</xdr:rowOff>
    </xdr:from>
    <xdr:to>
      <xdr:col>1</xdr:col>
      <xdr:colOff>79507</xdr:colOff>
      <xdr:row>53</xdr:row>
      <xdr:rowOff>190500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85" r="17724" b="22307"/>
        <a:stretch/>
      </xdr:blipFill>
      <xdr:spPr>
        <a:xfrm>
          <a:off x="0" y="25540848"/>
          <a:ext cx="2499978" cy="10395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</xdr:row>
      <xdr:rowOff>396127</xdr:rowOff>
    </xdr:from>
    <xdr:to>
      <xdr:col>1</xdr:col>
      <xdr:colOff>177637</xdr:colOff>
      <xdr:row>57</xdr:row>
      <xdr:rowOff>291352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794509"/>
          <a:ext cx="2598108" cy="90375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59</xdr:row>
      <xdr:rowOff>66676</xdr:rowOff>
    </xdr:from>
    <xdr:to>
      <xdr:col>1</xdr:col>
      <xdr:colOff>51315</xdr:colOff>
      <xdr:row>60</xdr:row>
      <xdr:rowOff>358589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92" t="13978" r="14795" b="20141"/>
        <a:stretch/>
      </xdr:blipFill>
      <xdr:spPr>
        <a:xfrm>
          <a:off x="9525" y="29482117"/>
          <a:ext cx="2462261" cy="79617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63</xdr:row>
      <xdr:rowOff>100853</xdr:rowOff>
    </xdr:from>
    <xdr:to>
      <xdr:col>1</xdr:col>
      <xdr:colOff>2718</xdr:colOff>
      <xdr:row>65</xdr:row>
      <xdr:rowOff>94612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48" r="9596" b="8036"/>
        <a:stretch/>
      </xdr:blipFill>
      <xdr:spPr>
        <a:xfrm>
          <a:off x="1" y="31533353"/>
          <a:ext cx="2423188" cy="10022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</xdr:row>
      <xdr:rowOff>9525</xdr:rowOff>
    </xdr:from>
    <xdr:to>
      <xdr:col>1</xdr:col>
      <xdr:colOff>50844</xdr:colOff>
      <xdr:row>67</xdr:row>
      <xdr:rowOff>280147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7" t="15279" r="9668" b="15806"/>
        <a:stretch/>
      </xdr:blipFill>
      <xdr:spPr>
        <a:xfrm>
          <a:off x="0" y="32954819"/>
          <a:ext cx="2471315" cy="77488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68</xdr:row>
      <xdr:rowOff>387162</xdr:rowOff>
    </xdr:from>
    <xdr:to>
      <xdr:col>1</xdr:col>
      <xdr:colOff>12952</xdr:colOff>
      <xdr:row>71</xdr:row>
      <xdr:rowOff>280147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23" r="24805"/>
        <a:stretch/>
      </xdr:blipFill>
      <xdr:spPr>
        <a:xfrm>
          <a:off x="1" y="34340986"/>
          <a:ext cx="2433422" cy="14057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</xdr:row>
      <xdr:rowOff>233485</xdr:rowOff>
    </xdr:from>
    <xdr:to>
      <xdr:col>1</xdr:col>
      <xdr:colOff>13424</xdr:colOff>
      <xdr:row>75</xdr:row>
      <xdr:rowOff>56031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28" r="24073"/>
        <a:stretch/>
      </xdr:blipFill>
      <xdr:spPr>
        <a:xfrm>
          <a:off x="0" y="36204367"/>
          <a:ext cx="2433895" cy="13353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76</xdr:row>
      <xdr:rowOff>33058</xdr:rowOff>
    </xdr:from>
    <xdr:to>
      <xdr:col>1</xdr:col>
      <xdr:colOff>51547</xdr:colOff>
      <xdr:row>78</xdr:row>
      <xdr:rowOff>369794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58" r="20654" b="16349"/>
        <a:stretch/>
      </xdr:blipFill>
      <xdr:spPr>
        <a:xfrm>
          <a:off x="0" y="38020999"/>
          <a:ext cx="2472018" cy="13452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79</xdr:row>
      <xdr:rowOff>346104</xdr:rowOff>
    </xdr:from>
    <xdr:to>
      <xdr:col>0</xdr:col>
      <xdr:colOff>2408259</xdr:colOff>
      <xdr:row>81</xdr:row>
      <xdr:rowOff>481854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96" r="19860" b="7137"/>
        <a:stretch/>
      </xdr:blipFill>
      <xdr:spPr>
        <a:xfrm>
          <a:off x="0" y="39846839"/>
          <a:ext cx="2408259" cy="1144280"/>
        </a:xfrm>
        <a:prstGeom prst="rect">
          <a:avLst/>
        </a:prstGeom>
      </xdr:spPr>
    </xdr:pic>
    <xdr:clientData/>
  </xdr:twoCellAnchor>
  <xdr:twoCellAnchor>
    <xdr:from>
      <xdr:col>0</xdr:col>
      <xdr:colOff>56027</xdr:colOff>
      <xdr:row>83</xdr:row>
      <xdr:rowOff>55469</xdr:rowOff>
    </xdr:from>
    <xdr:to>
      <xdr:col>0</xdr:col>
      <xdr:colOff>2319616</xdr:colOff>
      <xdr:row>85</xdr:row>
      <xdr:rowOff>142443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37" r="17725" b="15048"/>
        <a:stretch/>
      </xdr:blipFill>
      <xdr:spPr>
        <a:xfrm>
          <a:off x="56027" y="41573263"/>
          <a:ext cx="2263589" cy="1095504"/>
        </a:xfrm>
        <a:prstGeom prst="rect">
          <a:avLst/>
        </a:prstGeom>
      </xdr:spPr>
    </xdr:pic>
    <xdr:clientData/>
  </xdr:twoCellAnchor>
  <xdr:twoCellAnchor>
    <xdr:from>
      <xdr:col>0</xdr:col>
      <xdr:colOff>113741</xdr:colOff>
      <xdr:row>86</xdr:row>
      <xdr:rowOff>278868</xdr:rowOff>
    </xdr:from>
    <xdr:to>
      <xdr:col>0</xdr:col>
      <xdr:colOff>2392501</xdr:colOff>
      <xdr:row>88</xdr:row>
      <xdr:rowOff>268941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72" r="14978" b="4537"/>
        <a:stretch/>
      </xdr:blipFill>
      <xdr:spPr>
        <a:xfrm>
          <a:off x="113741" y="43309456"/>
          <a:ext cx="2278760" cy="99860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</xdr:row>
      <xdr:rowOff>41462</xdr:rowOff>
    </xdr:from>
    <xdr:to>
      <xdr:col>1</xdr:col>
      <xdr:colOff>59968</xdr:colOff>
      <xdr:row>92</xdr:row>
      <xdr:rowOff>168089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85" r="20410" b="14615"/>
        <a:stretch/>
      </xdr:blipFill>
      <xdr:spPr>
        <a:xfrm>
          <a:off x="0" y="45089109"/>
          <a:ext cx="2480439" cy="11351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</xdr:row>
      <xdr:rowOff>380281</xdr:rowOff>
    </xdr:from>
    <xdr:to>
      <xdr:col>1</xdr:col>
      <xdr:colOff>6768</xdr:colOff>
      <xdr:row>96</xdr:row>
      <xdr:rowOff>89648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96" r="22789" b="4537"/>
        <a:stretch/>
      </xdr:blipFill>
      <xdr:spPr>
        <a:xfrm>
          <a:off x="0" y="46940722"/>
          <a:ext cx="2427239" cy="12221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</xdr:row>
      <xdr:rowOff>197784</xdr:rowOff>
    </xdr:from>
    <xdr:to>
      <xdr:col>1</xdr:col>
      <xdr:colOff>30803</xdr:colOff>
      <xdr:row>99</xdr:row>
      <xdr:rowOff>201706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7" r="12352" b="13748"/>
        <a:stretch/>
      </xdr:blipFill>
      <xdr:spPr>
        <a:xfrm>
          <a:off x="0" y="48775284"/>
          <a:ext cx="2451274" cy="10124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</xdr:row>
      <xdr:rowOff>372595</xdr:rowOff>
    </xdr:from>
    <xdr:to>
      <xdr:col>0</xdr:col>
      <xdr:colOff>2398059</xdr:colOff>
      <xdr:row>102</xdr:row>
      <xdr:rowOff>481852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45" t="2710" r="15954" b="3670"/>
        <a:stretch/>
      </xdr:blipFill>
      <xdr:spPr>
        <a:xfrm>
          <a:off x="0" y="50462889"/>
          <a:ext cx="2398059" cy="1117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</xdr:row>
      <xdr:rowOff>168087</xdr:rowOff>
    </xdr:from>
    <xdr:to>
      <xdr:col>1</xdr:col>
      <xdr:colOff>44823</xdr:colOff>
      <xdr:row>107</xdr:row>
      <xdr:rowOff>90935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52" t="3901" r="9911" b="15916"/>
        <a:stretch/>
      </xdr:blipFill>
      <xdr:spPr>
        <a:xfrm>
          <a:off x="0" y="52779705"/>
          <a:ext cx="2465294" cy="9313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</xdr:row>
      <xdr:rowOff>2802</xdr:rowOff>
    </xdr:from>
    <xdr:to>
      <xdr:col>0</xdr:col>
      <xdr:colOff>2418685</xdr:colOff>
      <xdr:row>109</xdr:row>
      <xdr:rowOff>472114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71" t="4010" r="11804" b="4537"/>
        <a:stretch/>
      </xdr:blipFill>
      <xdr:spPr>
        <a:xfrm>
          <a:off x="0" y="54127214"/>
          <a:ext cx="2418685" cy="9735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</xdr:row>
      <xdr:rowOff>280146</xdr:rowOff>
    </xdr:from>
    <xdr:to>
      <xdr:col>1</xdr:col>
      <xdr:colOff>51592</xdr:colOff>
      <xdr:row>113</xdr:row>
      <xdr:rowOff>281978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9" r="13818" b="11581"/>
        <a:stretch/>
      </xdr:blipFill>
      <xdr:spPr>
        <a:xfrm>
          <a:off x="0" y="55917352"/>
          <a:ext cx="2472063" cy="101036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</xdr:row>
      <xdr:rowOff>235725</xdr:rowOff>
    </xdr:from>
    <xdr:to>
      <xdr:col>1</xdr:col>
      <xdr:colOff>10856</xdr:colOff>
      <xdr:row>116</xdr:row>
      <xdr:rowOff>437030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84" r="17175" b="4275"/>
        <a:stretch/>
      </xdr:blipFill>
      <xdr:spPr>
        <a:xfrm>
          <a:off x="0" y="57385725"/>
          <a:ext cx="2431327" cy="12098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</xdr:row>
      <xdr:rowOff>112058</xdr:rowOff>
    </xdr:from>
    <xdr:to>
      <xdr:col>0</xdr:col>
      <xdr:colOff>2364441</xdr:colOff>
      <xdr:row>120</xdr:row>
      <xdr:rowOff>133913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84" t="4768" r="14063" b="18950"/>
        <a:stretch/>
      </xdr:blipFill>
      <xdr:spPr>
        <a:xfrm>
          <a:off x="0" y="59279117"/>
          <a:ext cx="2364441" cy="10303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268941</xdr:rowOff>
    </xdr:from>
    <xdr:to>
      <xdr:col>0</xdr:col>
      <xdr:colOff>2400053</xdr:colOff>
      <xdr:row>123</xdr:row>
      <xdr:rowOff>302559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9211" r="19434" b="3670"/>
        <a:stretch/>
      </xdr:blipFill>
      <xdr:spPr>
        <a:xfrm>
          <a:off x="0" y="60948794"/>
          <a:ext cx="2400053" cy="10421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124</xdr:row>
      <xdr:rowOff>403412</xdr:rowOff>
    </xdr:from>
    <xdr:to>
      <xdr:col>0</xdr:col>
      <xdr:colOff>2353796</xdr:colOff>
      <xdr:row>126</xdr:row>
      <xdr:rowOff>457230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96" t="7368" r="10889" b="20683"/>
        <a:stretch/>
      </xdr:blipFill>
      <xdr:spPr>
        <a:xfrm>
          <a:off x="0" y="62596059"/>
          <a:ext cx="2353796" cy="10623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128</xdr:row>
      <xdr:rowOff>257175</xdr:rowOff>
    </xdr:from>
    <xdr:to>
      <xdr:col>1</xdr:col>
      <xdr:colOff>47524</xdr:colOff>
      <xdr:row>130</xdr:row>
      <xdr:rowOff>425823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15" t="3577" r="7409" b="4536"/>
        <a:stretch/>
      </xdr:blipFill>
      <xdr:spPr>
        <a:xfrm>
          <a:off x="0" y="64466881"/>
          <a:ext cx="2467995" cy="11771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140</xdr:row>
      <xdr:rowOff>238125</xdr:rowOff>
    </xdr:from>
    <xdr:to>
      <xdr:col>1</xdr:col>
      <xdr:colOff>132987</xdr:colOff>
      <xdr:row>141</xdr:row>
      <xdr:rowOff>493059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0" t="29040" r="22852" b="20250"/>
        <a:stretch/>
      </xdr:blipFill>
      <xdr:spPr>
        <a:xfrm>
          <a:off x="0" y="70499007"/>
          <a:ext cx="2553458" cy="759199"/>
        </a:xfrm>
        <a:prstGeom prst="rect">
          <a:avLst/>
        </a:prstGeom>
      </xdr:spPr>
    </xdr:pic>
    <xdr:clientData/>
  </xdr:twoCellAnchor>
  <xdr:twoCellAnchor>
    <xdr:from>
      <xdr:col>0</xdr:col>
      <xdr:colOff>468406</xdr:colOff>
      <xdr:row>142</xdr:row>
      <xdr:rowOff>119342</xdr:rowOff>
    </xdr:from>
    <xdr:to>
      <xdr:col>0</xdr:col>
      <xdr:colOff>2173381</xdr:colOff>
      <xdr:row>144</xdr:row>
      <xdr:rowOff>490817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55" t="11703" r="29443" b="25451"/>
        <a:stretch/>
      </xdr:blipFill>
      <xdr:spPr>
        <a:xfrm>
          <a:off x="468406" y="71388754"/>
          <a:ext cx="1704975" cy="13800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200026</xdr:rowOff>
    </xdr:from>
    <xdr:to>
      <xdr:col>0</xdr:col>
      <xdr:colOff>481853</xdr:colOff>
      <xdr:row>133</xdr:row>
      <xdr:rowOff>433376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320" t="32507" r="32862" b="34119"/>
        <a:stretch/>
      </xdr:blipFill>
      <xdr:spPr>
        <a:xfrm>
          <a:off x="0" y="66931055"/>
          <a:ext cx="481853" cy="233350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134</xdr:row>
      <xdr:rowOff>134358</xdr:rowOff>
    </xdr:from>
    <xdr:to>
      <xdr:col>0</xdr:col>
      <xdr:colOff>661147</xdr:colOff>
      <xdr:row>134</xdr:row>
      <xdr:rowOff>404664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2" t="28172" r="23828" b="29785"/>
        <a:stretch/>
      </xdr:blipFill>
      <xdr:spPr>
        <a:xfrm>
          <a:off x="28575" y="67369652"/>
          <a:ext cx="632572" cy="270306"/>
        </a:xfrm>
        <a:prstGeom prst="rect">
          <a:avLst/>
        </a:prstGeom>
      </xdr:spPr>
    </xdr:pic>
    <xdr:clientData/>
  </xdr:twoCellAnchor>
  <xdr:twoCellAnchor>
    <xdr:from>
      <xdr:col>0</xdr:col>
      <xdr:colOff>36419</xdr:colOff>
      <xdr:row>135</xdr:row>
      <xdr:rowOff>76760</xdr:rowOff>
    </xdr:from>
    <xdr:to>
      <xdr:col>0</xdr:col>
      <xdr:colOff>1714500</xdr:colOff>
      <xdr:row>135</xdr:row>
      <xdr:rowOff>314300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8" t="26873" r="13330" b="28918"/>
        <a:stretch/>
      </xdr:blipFill>
      <xdr:spPr>
        <a:xfrm>
          <a:off x="36419" y="67816319"/>
          <a:ext cx="1678081" cy="237540"/>
        </a:xfrm>
        <a:prstGeom prst="rect">
          <a:avLst/>
        </a:prstGeom>
      </xdr:spPr>
    </xdr:pic>
    <xdr:clientData/>
  </xdr:twoCellAnchor>
  <xdr:twoCellAnchor>
    <xdr:from>
      <xdr:col>0</xdr:col>
      <xdr:colOff>70038</xdr:colOff>
      <xdr:row>136</xdr:row>
      <xdr:rowOff>22412</xdr:rowOff>
    </xdr:from>
    <xdr:to>
      <xdr:col>0</xdr:col>
      <xdr:colOff>2218766</xdr:colOff>
      <xdr:row>136</xdr:row>
      <xdr:rowOff>347411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2" t="28172" r="10889" b="31952"/>
        <a:stretch/>
      </xdr:blipFill>
      <xdr:spPr>
        <a:xfrm>
          <a:off x="70038" y="68266236"/>
          <a:ext cx="2148728" cy="324999"/>
        </a:xfrm>
        <a:prstGeom prst="rect">
          <a:avLst/>
        </a:prstGeom>
      </xdr:spPr>
    </xdr:pic>
    <xdr:clientData/>
  </xdr:twoCellAnchor>
  <xdr:twoCellAnchor>
    <xdr:from>
      <xdr:col>0</xdr:col>
      <xdr:colOff>58831</xdr:colOff>
      <xdr:row>136</xdr:row>
      <xdr:rowOff>421900</xdr:rowOff>
    </xdr:from>
    <xdr:to>
      <xdr:col>1</xdr:col>
      <xdr:colOff>112059</xdr:colOff>
      <xdr:row>137</xdr:row>
      <xdr:rowOff>331572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3" t="29473" r="11133" b="29786"/>
        <a:stretch/>
      </xdr:blipFill>
      <xdr:spPr>
        <a:xfrm>
          <a:off x="58831" y="68665724"/>
          <a:ext cx="2473699" cy="4139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487790</xdr:rowOff>
    </xdr:from>
    <xdr:to>
      <xdr:col>1</xdr:col>
      <xdr:colOff>515470</xdr:colOff>
      <xdr:row>138</xdr:row>
      <xdr:rowOff>483334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6" t="30340" r="12842" b="29785"/>
        <a:stretch/>
      </xdr:blipFill>
      <xdr:spPr>
        <a:xfrm>
          <a:off x="0" y="69235878"/>
          <a:ext cx="2935941" cy="4998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147</xdr:row>
      <xdr:rowOff>242047</xdr:rowOff>
    </xdr:from>
    <xdr:to>
      <xdr:col>0</xdr:col>
      <xdr:colOff>2418796</xdr:colOff>
      <xdr:row>149</xdr:row>
      <xdr:rowOff>123264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59" t="17447" r="24560" b="23174"/>
        <a:stretch/>
      </xdr:blipFill>
      <xdr:spPr>
        <a:xfrm>
          <a:off x="0" y="74032782"/>
          <a:ext cx="2418796" cy="889747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150</xdr:row>
      <xdr:rowOff>57151</xdr:rowOff>
    </xdr:from>
    <xdr:to>
      <xdr:col>0</xdr:col>
      <xdr:colOff>2418879</xdr:colOff>
      <xdr:row>151</xdr:row>
      <xdr:rowOff>78442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93" t="23405" r="19678" b="34553"/>
        <a:stretch/>
      </xdr:blipFill>
      <xdr:spPr>
        <a:xfrm>
          <a:off x="76201" y="75360680"/>
          <a:ext cx="2342678" cy="525556"/>
        </a:xfrm>
        <a:prstGeom prst="rect">
          <a:avLst/>
        </a:prstGeom>
      </xdr:spPr>
    </xdr:pic>
    <xdr:clientData/>
  </xdr:twoCellAnchor>
  <xdr:twoCellAnchor>
    <xdr:from>
      <xdr:col>0</xdr:col>
      <xdr:colOff>47623</xdr:colOff>
      <xdr:row>152</xdr:row>
      <xdr:rowOff>142875</xdr:rowOff>
    </xdr:from>
    <xdr:to>
      <xdr:col>1</xdr:col>
      <xdr:colOff>11205</xdr:colOff>
      <xdr:row>153</xdr:row>
      <xdr:rowOff>382774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484" t="15713" r="13086" b="25775"/>
        <a:stretch/>
      </xdr:blipFill>
      <xdr:spPr>
        <a:xfrm flipH="1">
          <a:off x="47623" y="76454934"/>
          <a:ext cx="2384053" cy="744164"/>
        </a:xfrm>
        <a:prstGeom prst="rect">
          <a:avLst/>
        </a:prstGeom>
      </xdr:spPr>
    </xdr:pic>
    <xdr:clientData/>
  </xdr:twoCellAnchor>
  <xdr:twoCellAnchor>
    <xdr:from>
      <xdr:col>0</xdr:col>
      <xdr:colOff>19611</xdr:colOff>
      <xdr:row>145</xdr:row>
      <xdr:rowOff>282796</xdr:rowOff>
    </xdr:from>
    <xdr:to>
      <xdr:col>0</xdr:col>
      <xdr:colOff>2409265</xdr:colOff>
      <xdr:row>146</xdr:row>
      <xdr:rowOff>375396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41" t="30340" r="25049" b="28051"/>
        <a:stretch/>
      </xdr:blipFill>
      <xdr:spPr>
        <a:xfrm>
          <a:off x="19611" y="73065002"/>
          <a:ext cx="2389654" cy="596865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154</xdr:row>
      <xdr:rowOff>447675</xdr:rowOff>
    </xdr:from>
    <xdr:to>
      <xdr:col>1</xdr:col>
      <xdr:colOff>22411</xdr:colOff>
      <xdr:row>156</xdr:row>
      <xdr:rowOff>29655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6" t="26873" r="27246" b="26318"/>
        <a:stretch/>
      </xdr:blipFill>
      <xdr:spPr>
        <a:xfrm>
          <a:off x="66675" y="77768263"/>
          <a:ext cx="2376207" cy="5905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157</xdr:row>
      <xdr:rowOff>16808</xdr:rowOff>
    </xdr:from>
    <xdr:to>
      <xdr:col>0</xdr:col>
      <xdr:colOff>2409264</xdr:colOff>
      <xdr:row>158</xdr:row>
      <xdr:rowOff>232283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93" t="16146" r="5212" b="27076"/>
        <a:stretch/>
      </xdr:blipFill>
      <xdr:spPr>
        <a:xfrm flipH="1">
          <a:off x="0" y="78850190"/>
          <a:ext cx="2409264" cy="7197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11206</xdr:rowOff>
    </xdr:from>
    <xdr:to>
      <xdr:col>1</xdr:col>
      <xdr:colOff>9310</xdr:colOff>
      <xdr:row>160</xdr:row>
      <xdr:rowOff>410595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5" t="26006" r="51431" b="31519"/>
        <a:stretch/>
      </xdr:blipFill>
      <xdr:spPr>
        <a:xfrm>
          <a:off x="0" y="79853118"/>
          <a:ext cx="2429781" cy="903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161</xdr:row>
      <xdr:rowOff>291354</xdr:rowOff>
    </xdr:from>
    <xdr:to>
      <xdr:col>1</xdr:col>
      <xdr:colOff>19643</xdr:colOff>
      <xdr:row>163</xdr:row>
      <xdr:rowOff>392207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683" t="20805" r="10890" b="29352"/>
        <a:stretch/>
      </xdr:blipFill>
      <xdr:spPr>
        <a:xfrm flipH="1">
          <a:off x="0" y="81141795"/>
          <a:ext cx="2440114" cy="11093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</xdr:row>
      <xdr:rowOff>21268</xdr:rowOff>
    </xdr:from>
    <xdr:to>
      <xdr:col>1</xdr:col>
      <xdr:colOff>11205</xdr:colOff>
      <xdr:row>166</xdr:row>
      <xdr:rowOff>224118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2" t="32507" r="60377" b="24584"/>
        <a:stretch/>
      </xdr:blipFill>
      <xdr:spPr>
        <a:xfrm>
          <a:off x="0" y="82384503"/>
          <a:ext cx="2431676" cy="12113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166</xdr:row>
      <xdr:rowOff>224117</xdr:rowOff>
    </xdr:from>
    <xdr:to>
      <xdr:col>1</xdr:col>
      <xdr:colOff>10658</xdr:colOff>
      <xdr:row>168</xdr:row>
      <xdr:rowOff>504264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86" t="22647" r="6165" b="27942"/>
        <a:stretch/>
      </xdr:blipFill>
      <xdr:spPr>
        <a:xfrm flipH="1">
          <a:off x="0" y="83595882"/>
          <a:ext cx="2431129" cy="1288676"/>
        </a:xfrm>
        <a:prstGeom prst="rect">
          <a:avLst/>
        </a:prstGeom>
      </xdr:spPr>
    </xdr:pic>
    <xdr:clientData/>
  </xdr:twoCellAnchor>
  <xdr:twoCellAnchor>
    <xdr:from>
      <xdr:col>0</xdr:col>
      <xdr:colOff>445993</xdr:colOff>
      <xdr:row>171</xdr:row>
      <xdr:rowOff>47303</xdr:rowOff>
    </xdr:from>
    <xdr:to>
      <xdr:col>0</xdr:col>
      <xdr:colOff>2095500</xdr:colOff>
      <xdr:row>171</xdr:row>
      <xdr:rowOff>472889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1" t="13436" r="10156" b="22850"/>
        <a:stretch/>
      </xdr:blipFill>
      <xdr:spPr>
        <a:xfrm>
          <a:off x="445993" y="85940391"/>
          <a:ext cx="1649507" cy="425586"/>
        </a:xfrm>
        <a:prstGeom prst="rect">
          <a:avLst/>
        </a:prstGeom>
      </xdr:spPr>
    </xdr:pic>
    <xdr:clientData/>
  </xdr:twoCellAnchor>
  <xdr:twoCellAnchor>
    <xdr:from>
      <xdr:col>0</xdr:col>
      <xdr:colOff>874059</xdr:colOff>
      <xdr:row>174</xdr:row>
      <xdr:rowOff>72132</xdr:rowOff>
    </xdr:from>
    <xdr:to>
      <xdr:col>0</xdr:col>
      <xdr:colOff>1626534</xdr:colOff>
      <xdr:row>174</xdr:row>
      <xdr:rowOff>495399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59" y="87478014"/>
          <a:ext cx="752475" cy="423267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175</xdr:row>
      <xdr:rowOff>17072</xdr:rowOff>
    </xdr:from>
    <xdr:to>
      <xdr:col>0</xdr:col>
      <xdr:colOff>1616449</xdr:colOff>
      <xdr:row>175</xdr:row>
      <xdr:rowOff>472485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87927219"/>
          <a:ext cx="809625" cy="455413"/>
        </a:xfrm>
        <a:prstGeom prst="rect">
          <a:avLst/>
        </a:prstGeom>
      </xdr:spPr>
    </xdr:pic>
    <xdr:clientData/>
  </xdr:twoCellAnchor>
  <xdr:twoCellAnchor>
    <xdr:from>
      <xdr:col>0</xdr:col>
      <xdr:colOff>582707</xdr:colOff>
      <xdr:row>176</xdr:row>
      <xdr:rowOff>32363</xdr:rowOff>
    </xdr:from>
    <xdr:to>
      <xdr:col>0</xdr:col>
      <xdr:colOff>1840007</xdr:colOff>
      <xdr:row>176</xdr:row>
      <xdr:rowOff>484654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7" y="88446775"/>
          <a:ext cx="1257300" cy="452291"/>
        </a:xfrm>
        <a:prstGeom prst="rect">
          <a:avLst/>
        </a:prstGeom>
      </xdr:spPr>
    </xdr:pic>
    <xdr:clientData/>
  </xdr:twoCellAnchor>
  <xdr:twoCellAnchor>
    <xdr:from>
      <xdr:col>0</xdr:col>
      <xdr:colOff>145676</xdr:colOff>
      <xdr:row>176</xdr:row>
      <xdr:rowOff>381001</xdr:rowOff>
    </xdr:from>
    <xdr:to>
      <xdr:col>0</xdr:col>
      <xdr:colOff>2196352</xdr:colOff>
      <xdr:row>177</xdr:row>
      <xdr:rowOff>481854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4078942"/>
          <a:ext cx="2050676" cy="605118"/>
        </a:xfrm>
        <a:prstGeom prst="rect">
          <a:avLst/>
        </a:prstGeom>
      </xdr:spPr>
    </xdr:pic>
    <xdr:clientData/>
  </xdr:twoCellAnchor>
  <xdr:twoCellAnchor>
    <xdr:from>
      <xdr:col>0</xdr:col>
      <xdr:colOff>773207</xdr:colOff>
      <xdr:row>179</xdr:row>
      <xdr:rowOff>33618</xdr:rowOff>
    </xdr:from>
    <xdr:to>
      <xdr:col>0</xdr:col>
      <xdr:colOff>1493207</xdr:colOff>
      <xdr:row>180</xdr:row>
      <xdr:rowOff>2118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7" y="89960824"/>
          <a:ext cx="720000" cy="472765"/>
        </a:xfrm>
        <a:prstGeom prst="rect">
          <a:avLst/>
        </a:prstGeom>
      </xdr:spPr>
    </xdr:pic>
    <xdr:clientData/>
  </xdr:twoCellAnchor>
  <xdr:twoCellAnchor>
    <xdr:from>
      <xdr:col>0</xdr:col>
      <xdr:colOff>773207</xdr:colOff>
      <xdr:row>180</xdr:row>
      <xdr:rowOff>44822</xdr:rowOff>
    </xdr:from>
    <xdr:to>
      <xdr:col>0</xdr:col>
      <xdr:colOff>1493207</xdr:colOff>
      <xdr:row>181</xdr:row>
      <xdr:rowOff>23409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7" y="90476293"/>
          <a:ext cx="720000" cy="482851"/>
        </a:xfrm>
        <a:prstGeom prst="rect">
          <a:avLst/>
        </a:prstGeom>
      </xdr:spPr>
    </xdr:pic>
    <xdr:clientData/>
  </xdr:twoCellAnchor>
  <xdr:twoCellAnchor>
    <xdr:from>
      <xdr:col>0</xdr:col>
      <xdr:colOff>889576</xdr:colOff>
      <xdr:row>185</xdr:row>
      <xdr:rowOff>21981</xdr:rowOff>
    </xdr:from>
    <xdr:to>
      <xdr:col>0</xdr:col>
      <xdr:colOff>1337467</xdr:colOff>
      <xdr:row>186</xdr:row>
      <xdr:rowOff>566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576" y="92974775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750364</xdr:colOff>
      <xdr:row>206</xdr:row>
      <xdr:rowOff>29306</xdr:rowOff>
    </xdr:from>
    <xdr:to>
      <xdr:col>0</xdr:col>
      <xdr:colOff>1561156</xdr:colOff>
      <xdr:row>206</xdr:row>
      <xdr:rowOff>502631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364" y="103571659"/>
          <a:ext cx="810792" cy="473325"/>
        </a:xfrm>
        <a:prstGeom prst="rect">
          <a:avLst/>
        </a:prstGeom>
      </xdr:spPr>
    </xdr:pic>
    <xdr:clientData/>
  </xdr:twoCellAnchor>
  <xdr:twoCellAnchor>
    <xdr:from>
      <xdr:col>0</xdr:col>
      <xdr:colOff>824890</xdr:colOff>
      <xdr:row>209</xdr:row>
      <xdr:rowOff>29516</xdr:rowOff>
    </xdr:from>
    <xdr:to>
      <xdr:col>0</xdr:col>
      <xdr:colOff>1532529</xdr:colOff>
      <xdr:row>209</xdr:row>
      <xdr:rowOff>502841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90" y="105084663"/>
          <a:ext cx="707639" cy="473325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181</xdr:row>
      <xdr:rowOff>22412</xdr:rowOff>
    </xdr:from>
    <xdr:to>
      <xdr:col>0</xdr:col>
      <xdr:colOff>1572001</xdr:colOff>
      <xdr:row>182</xdr:row>
      <xdr:rowOff>997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90958147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183</xdr:row>
      <xdr:rowOff>19050</xdr:rowOff>
    </xdr:from>
    <xdr:to>
      <xdr:col>0</xdr:col>
      <xdr:colOff>1527018</xdr:colOff>
      <xdr:row>183</xdr:row>
      <xdr:rowOff>501900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808"/>
        <a:stretch>
          <a:fillRect/>
        </a:stretch>
      </xdr:blipFill>
      <xdr:spPr>
        <a:xfrm>
          <a:off x="728383" y="91963315"/>
          <a:ext cx="798635" cy="482850"/>
        </a:xfrm>
        <a:prstGeom prst="rect">
          <a:avLst/>
        </a:prstGeom>
      </xdr:spPr>
    </xdr:pic>
    <xdr:clientData/>
  </xdr:twoCellAnchor>
  <xdr:twoCellAnchor>
    <xdr:from>
      <xdr:col>0</xdr:col>
      <xdr:colOff>736667</xdr:colOff>
      <xdr:row>184</xdr:row>
      <xdr:rowOff>57978</xdr:rowOff>
    </xdr:from>
    <xdr:to>
      <xdr:col>0</xdr:col>
      <xdr:colOff>1569074</xdr:colOff>
      <xdr:row>185</xdr:row>
      <xdr:rowOff>2663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67" y="92506507"/>
          <a:ext cx="832407" cy="448950"/>
        </a:xfrm>
        <a:prstGeom prst="rect">
          <a:avLst/>
        </a:prstGeom>
      </xdr:spPr>
    </xdr:pic>
    <xdr:clientData/>
  </xdr:twoCellAnchor>
  <xdr:twoCellAnchor>
    <xdr:from>
      <xdr:col>0</xdr:col>
      <xdr:colOff>880783</xdr:colOff>
      <xdr:row>186</xdr:row>
      <xdr:rowOff>19050</xdr:rowOff>
    </xdr:from>
    <xdr:to>
      <xdr:col>0</xdr:col>
      <xdr:colOff>1420783</xdr:colOff>
      <xdr:row>186</xdr:row>
      <xdr:rowOff>501900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783" y="93476109"/>
          <a:ext cx="540000" cy="48285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</xdr:row>
      <xdr:rowOff>0</xdr:rowOff>
    </xdr:from>
    <xdr:to>
      <xdr:col>0</xdr:col>
      <xdr:colOff>820268</xdr:colOff>
      <xdr:row>189</xdr:row>
      <xdr:rowOff>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55262850"/>
          <a:ext cx="801218" cy="0"/>
        </a:xfrm>
        <a:prstGeom prst="rect">
          <a:avLst/>
        </a:prstGeom>
      </xdr:spPr>
    </xdr:pic>
    <xdr:clientData/>
  </xdr:twoCellAnchor>
  <xdr:twoCellAnchor>
    <xdr:from>
      <xdr:col>0</xdr:col>
      <xdr:colOff>747433</xdr:colOff>
      <xdr:row>189</xdr:row>
      <xdr:rowOff>19050</xdr:rowOff>
    </xdr:from>
    <xdr:to>
      <xdr:col>0</xdr:col>
      <xdr:colOff>1527347</xdr:colOff>
      <xdr:row>189</xdr:row>
      <xdr:rowOff>501900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433" y="94988903"/>
          <a:ext cx="779914" cy="482850"/>
        </a:xfrm>
        <a:prstGeom prst="rect">
          <a:avLst/>
        </a:prstGeom>
      </xdr:spPr>
    </xdr:pic>
    <xdr:clientData/>
  </xdr:twoCellAnchor>
  <xdr:twoCellAnchor>
    <xdr:from>
      <xdr:col>0</xdr:col>
      <xdr:colOff>770717</xdr:colOff>
      <xdr:row>194</xdr:row>
      <xdr:rowOff>84666</xdr:rowOff>
    </xdr:from>
    <xdr:to>
      <xdr:col>0</xdr:col>
      <xdr:colOff>1501133</xdr:colOff>
      <xdr:row>194</xdr:row>
      <xdr:rowOff>386907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17" y="97575842"/>
          <a:ext cx="730416" cy="302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781301</xdr:colOff>
      <xdr:row>195</xdr:row>
      <xdr:rowOff>106892</xdr:rowOff>
    </xdr:from>
    <xdr:to>
      <xdr:col>0</xdr:col>
      <xdr:colOff>1538317</xdr:colOff>
      <xdr:row>195</xdr:row>
      <xdr:rowOff>424204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301" y="98102333"/>
          <a:ext cx="757016" cy="317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760134</xdr:colOff>
      <xdr:row>196</xdr:row>
      <xdr:rowOff>70237</xdr:rowOff>
    </xdr:from>
    <xdr:to>
      <xdr:col>0</xdr:col>
      <xdr:colOff>1520486</xdr:colOff>
      <xdr:row>196</xdr:row>
      <xdr:rowOff>402606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134" y="98569943"/>
          <a:ext cx="760352" cy="332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781300</xdr:colOff>
      <xdr:row>197</xdr:row>
      <xdr:rowOff>85725</xdr:rowOff>
    </xdr:from>
    <xdr:to>
      <xdr:col>0</xdr:col>
      <xdr:colOff>1559613</xdr:colOff>
      <xdr:row>197</xdr:row>
      <xdr:rowOff>419288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300" y="99089696"/>
          <a:ext cx="778313" cy="333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810933</xdr:colOff>
      <xdr:row>198</xdr:row>
      <xdr:rowOff>105834</xdr:rowOff>
    </xdr:from>
    <xdr:to>
      <xdr:col>0</xdr:col>
      <xdr:colOff>1550894</xdr:colOff>
      <xdr:row>198</xdr:row>
      <xdr:rowOff>417159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933" y="99614069"/>
          <a:ext cx="739961" cy="31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781301</xdr:colOff>
      <xdr:row>199</xdr:row>
      <xdr:rowOff>109008</xdr:rowOff>
    </xdr:from>
    <xdr:to>
      <xdr:col>0</xdr:col>
      <xdr:colOff>1547640</xdr:colOff>
      <xdr:row>199</xdr:row>
      <xdr:rowOff>427947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301" y="100121508"/>
          <a:ext cx="766339" cy="318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770718</xdr:colOff>
      <xdr:row>200</xdr:row>
      <xdr:rowOff>98426</xdr:rowOff>
    </xdr:from>
    <xdr:to>
      <xdr:col>0</xdr:col>
      <xdr:colOff>1543044</xdr:colOff>
      <xdr:row>200</xdr:row>
      <xdr:rowOff>411900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718" y="100615191"/>
          <a:ext cx="772326" cy="313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800351</xdr:colOff>
      <xdr:row>201</xdr:row>
      <xdr:rowOff>80435</xdr:rowOff>
    </xdr:from>
    <xdr:to>
      <xdr:col>0</xdr:col>
      <xdr:colOff>1542742</xdr:colOff>
      <xdr:row>201</xdr:row>
      <xdr:rowOff>409721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351" y="101101464"/>
          <a:ext cx="742391" cy="32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797175</xdr:colOff>
      <xdr:row>202</xdr:row>
      <xdr:rowOff>91016</xdr:rowOff>
    </xdr:from>
    <xdr:to>
      <xdr:col>0</xdr:col>
      <xdr:colOff>1523600</xdr:colOff>
      <xdr:row>202</xdr:row>
      <xdr:rowOff>402341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175" y="101616310"/>
          <a:ext cx="726425" cy="31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779184</xdr:colOff>
      <xdr:row>203</xdr:row>
      <xdr:rowOff>78317</xdr:rowOff>
    </xdr:from>
    <xdr:to>
      <xdr:col>0</xdr:col>
      <xdr:colOff>1527562</xdr:colOff>
      <xdr:row>203</xdr:row>
      <xdr:rowOff>383046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84" y="102107876"/>
          <a:ext cx="748378" cy="3047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781299</xdr:colOff>
      <xdr:row>204</xdr:row>
      <xdr:rowOff>112183</xdr:rowOff>
    </xdr:from>
    <xdr:to>
      <xdr:col>0</xdr:col>
      <xdr:colOff>1553624</xdr:colOff>
      <xdr:row>204</xdr:row>
      <xdr:rowOff>424642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299" y="102646007"/>
          <a:ext cx="772325" cy="312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749550</xdr:colOff>
      <xdr:row>205</xdr:row>
      <xdr:rowOff>103718</xdr:rowOff>
    </xdr:from>
    <xdr:to>
      <xdr:col>0</xdr:col>
      <xdr:colOff>1532717</xdr:colOff>
      <xdr:row>205</xdr:row>
      <xdr:rowOff>433004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550" y="103141806"/>
          <a:ext cx="783167" cy="329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842683</xdr:colOff>
      <xdr:row>187</xdr:row>
      <xdr:rowOff>28575</xdr:rowOff>
    </xdr:from>
    <xdr:to>
      <xdr:col>0</xdr:col>
      <xdr:colOff>1471333</xdr:colOff>
      <xdr:row>187</xdr:row>
      <xdr:rowOff>463579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83" y="93989899"/>
          <a:ext cx="628650" cy="435004"/>
        </a:xfrm>
        <a:prstGeom prst="rect">
          <a:avLst/>
        </a:prstGeom>
      </xdr:spPr>
    </xdr:pic>
    <xdr:clientData/>
  </xdr:twoCellAnchor>
  <xdr:twoCellAnchor>
    <xdr:from>
      <xdr:col>0</xdr:col>
      <xdr:colOff>842683</xdr:colOff>
      <xdr:row>188</xdr:row>
      <xdr:rowOff>28575</xdr:rowOff>
    </xdr:from>
    <xdr:to>
      <xdr:col>0</xdr:col>
      <xdr:colOff>1471333</xdr:colOff>
      <xdr:row>188</xdr:row>
      <xdr:rowOff>463579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683" y="94494163"/>
          <a:ext cx="628650" cy="435004"/>
        </a:xfrm>
        <a:prstGeom prst="rect">
          <a:avLst/>
        </a:prstGeom>
      </xdr:spPr>
    </xdr:pic>
    <xdr:clientData/>
  </xdr:twoCellAnchor>
  <xdr:twoCellAnchor>
    <xdr:from>
      <xdr:col>0</xdr:col>
      <xdr:colOff>750795</xdr:colOff>
      <xdr:row>207</xdr:row>
      <xdr:rowOff>22412</xdr:rowOff>
    </xdr:from>
    <xdr:to>
      <xdr:col>0</xdr:col>
      <xdr:colOff>1560795</xdr:colOff>
      <xdr:row>208</xdr:row>
      <xdr:rowOff>998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5" y="104069030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747433</xdr:colOff>
      <xdr:row>208</xdr:row>
      <xdr:rowOff>38100</xdr:rowOff>
    </xdr:from>
    <xdr:to>
      <xdr:col>0</xdr:col>
      <xdr:colOff>1538008</xdr:colOff>
      <xdr:row>208</xdr:row>
      <xdr:rowOff>482798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433" y="104588982"/>
          <a:ext cx="790575" cy="444698"/>
        </a:xfrm>
        <a:prstGeom prst="rect">
          <a:avLst/>
        </a:prstGeom>
      </xdr:spPr>
    </xdr:pic>
    <xdr:clientData/>
  </xdr:twoCellAnchor>
  <xdr:twoCellAnchor>
    <xdr:from>
      <xdr:col>0</xdr:col>
      <xdr:colOff>861733</xdr:colOff>
      <xdr:row>190</xdr:row>
      <xdr:rowOff>28575</xdr:rowOff>
    </xdr:from>
    <xdr:to>
      <xdr:col>0</xdr:col>
      <xdr:colOff>1452283</xdr:colOff>
      <xdr:row>190</xdr:row>
      <xdr:rowOff>485100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92" b="19504"/>
        <a:stretch/>
      </xdr:blipFill>
      <xdr:spPr>
        <a:xfrm>
          <a:off x="861733" y="95502693"/>
          <a:ext cx="590550" cy="456525"/>
        </a:xfrm>
        <a:prstGeom prst="rect">
          <a:avLst/>
        </a:prstGeom>
      </xdr:spPr>
    </xdr:pic>
    <xdr:clientData/>
  </xdr:twoCellAnchor>
  <xdr:twoCellAnchor>
    <xdr:from>
      <xdr:col>0</xdr:col>
      <xdr:colOff>861733</xdr:colOff>
      <xdr:row>191</xdr:row>
      <xdr:rowOff>38100</xdr:rowOff>
    </xdr:from>
    <xdr:to>
      <xdr:col>0</xdr:col>
      <xdr:colOff>1490383</xdr:colOff>
      <xdr:row>191</xdr:row>
      <xdr:rowOff>473104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733" y="96016482"/>
          <a:ext cx="628650" cy="435004"/>
        </a:xfrm>
        <a:prstGeom prst="rect">
          <a:avLst/>
        </a:prstGeom>
      </xdr:spPr>
    </xdr:pic>
    <xdr:clientData/>
  </xdr:twoCellAnchor>
  <xdr:twoCellAnchor>
    <xdr:from>
      <xdr:col>0</xdr:col>
      <xdr:colOff>852208</xdr:colOff>
      <xdr:row>192</xdr:row>
      <xdr:rowOff>38100</xdr:rowOff>
    </xdr:from>
    <xdr:to>
      <xdr:col>0</xdr:col>
      <xdr:colOff>1480858</xdr:colOff>
      <xdr:row>192</xdr:row>
      <xdr:rowOff>473104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208" y="96520747"/>
          <a:ext cx="628650" cy="435004"/>
        </a:xfrm>
        <a:prstGeom prst="rect">
          <a:avLst/>
        </a:prstGeom>
      </xdr:spPr>
    </xdr:pic>
    <xdr:clientData/>
  </xdr:twoCellAnchor>
  <xdr:twoCellAnchor>
    <xdr:from>
      <xdr:col>0</xdr:col>
      <xdr:colOff>852208</xdr:colOff>
      <xdr:row>193</xdr:row>
      <xdr:rowOff>38100</xdr:rowOff>
    </xdr:from>
    <xdr:to>
      <xdr:col>0</xdr:col>
      <xdr:colOff>1480858</xdr:colOff>
      <xdr:row>193</xdr:row>
      <xdr:rowOff>473104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208" y="97025012"/>
          <a:ext cx="628650" cy="435004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212</xdr:row>
      <xdr:rowOff>22412</xdr:rowOff>
    </xdr:from>
    <xdr:to>
      <xdr:col>0</xdr:col>
      <xdr:colOff>1572001</xdr:colOff>
      <xdr:row>213</xdr:row>
      <xdr:rowOff>997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06590353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213</xdr:row>
      <xdr:rowOff>22412</xdr:rowOff>
    </xdr:from>
    <xdr:to>
      <xdr:col>0</xdr:col>
      <xdr:colOff>1572001</xdr:colOff>
      <xdr:row>214</xdr:row>
      <xdr:rowOff>997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07094618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214</xdr:row>
      <xdr:rowOff>22412</xdr:rowOff>
    </xdr:from>
    <xdr:to>
      <xdr:col>0</xdr:col>
      <xdr:colOff>1572001</xdr:colOff>
      <xdr:row>215</xdr:row>
      <xdr:rowOff>998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07598883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215</xdr:row>
      <xdr:rowOff>22412</xdr:rowOff>
    </xdr:from>
    <xdr:to>
      <xdr:col>0</xdr:col>
      <xdr:colOff>1572001</xdr:colOff>
      <xdr:row>216</xdr:row>
      <xdr:rowOff>997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08103147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216</xdr:row>
      <xdr:rowOff>22412</xdr:rowOff>
    </xdr:from>
    <xdr:to>
      <xdr:col>0</xdr:col>
      <xdr:colOff>1572001</xdr:colOff>
      <xdr:row>217</xdr:row>
      <xdr:rowOff>997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08607412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217</xdr:row>
      <xdr:rowOff>22412</xdr:rowOff>
    </xdr:from>
    <xdr:to>
      <xdr:col>0</xdr:col>
      <xdr:colOff>1572001</xdr:colOff>
      <xdr:row>218</xdr:row>
      <xdr:rowOff>998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09111677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218</xdr:row>
      <xdr:rowOff>22412</xdr:rowOff>
    </xdr:from>
    <xdr:to>
      <xdr:col>0</xdr:col>
      <xdr:colOff>1572001</xdr:colOff>
      <xdr:row>219</xdr:row>
      <xdr:rowOff>997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09615941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219</xdr:row>
      <xdr:rowOff>22412</xdr:rowOff>
    </xdr:from>
    <xdr:to>
      <xdr:col>0</xdr:col>
      <xdr:colOff>1572001</xdr:colOff>
      <xdr:row>220</xdr:row>
      <xdr:rowOff>997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10120206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220</xdr:row>
      <xdr:rowOff>22412</xdr:rowOff>
    </xdr:from>
    <xdr:to>
      <xdr:col>0</xdr:col>
      <xdr:colOff>1572001</xdr:colOff>
      <xdr:row>221</xdr:row>
      <xdr:rowOff>997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10624471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221</xdr:row>
      <xdr:rowOff>22412</xdr:rowOff>
    </xdr:from>
    <xdr:to>
      <xdr:col>0</xdr:col>
      <xdr:colOff>1572001</xdr:colOff>
      <xdr:row>222</xdr:row>
      <xdr:rowOff>998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11128736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222</xdr:row>
      <xdr:rowOff>22412</xdr:rowOff>
    </xdr:from>
    <xdr:to>
      <xdr:col>0</xdr:col>
      <xdr:colOff>1572001</xdr:colOff>
      <xdr:row>223</xdr:row>
      <xdr:rowOff>997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11633000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223</xdr:row>
      <xdr:rowOff>22412</xdr:rowOff>
    </xdr:from>
    <xdr:to>
      <xdr:col>0</xdr:col>
      <xdr:colOff>1572001</xdr:colOff>
      <xdr:row>224</xdr:row>
      <xdr:rowOff>997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xmlns="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12137265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224</xdr:row>
      <xdr:rowOff>22412</xdr:rowOff>
    </xdr:from>
    <xdr:to>
      <xdr:col>0</xdr:col>
      <xdr:colOff>1572001</xdr:colOff>
      <xdr:row>225</xdr:row>
      <xdr:rowOff>998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12641530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225</xdr:row>
      <xdr:rowOff>22412</xdr:rowOff>
    </xdr:from>
    <xdr:to>
      <xdr:col>0</xdr:col>
      <xdr:colOff>1572001</xdr:colOff>
      <xdr:row>226</xdr:row>
      <xdr:rowOff>997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13145794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226</xdr:row>
      <xdr:rowOff>22412</xdr:rowOff>
    </xdr:from>
    <xdr:to>
      <xdr:col>0</xdr:col>
      <xdr:colOff>1572001</xdr:colOff>
      <xdr:row>227</xdr:row>
      <xdr:rowOff>997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13650059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227</xdr:row>
      <xdr:rowOff>22412</xdr:rowOff>
    </xdr:from>
    <xdr:to>
      <xdr:col>0</xdr:col>
      <xdr:colOff>1572001</xdr:colOff>
      <xdr:row>228</xdr:row>
      <xdr:rowOff>998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14154324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228</xdr:row>
      <xdr:rowOff>22412</xdr:rowOff>
    </xdr:from>
    <xdr:to>
      <xdr:col>0</xdr:col>
      <xdr:colOff>1572001</xdr:colOff>
      <xdr:row>229</xdr:row>
      <xdr:rowOff>997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14658588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229</xdr:row>
      <xdr:rowOff>22412</xdr:rowOff>
    </xdr:from>
    <xdr:to>
      <xdr:col>0</xdr:col>
      <xdr:colOff>1572001</xdr:colOff>
      <xdr:row>229</xdr:row>
      <xdr:rowOff>493059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xmlns="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3727206"/>
          <a:ext cx="810000" cy="470647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232</xdr:row>
      <xdr:rowOff>0</xdr:rowOff>
    </xdr:from>
    <xdr:to>
      <xdr:col>0</xdr:col>
      <xdr:colOff>1268383</xdr:colOff>
      <xdr:row>232</xdr:row>
      <xdr:rowOff>501900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16148971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233</xdr:row>
      <xdr:rowOff>0</xdr:rowOff>
    </xdr:from>
    <xdr:to>
      <xdr:col>0</xdr:col>
      <xdr:colOff>1268383</xdr:colOff>
      <xdr:row>233</xdr:row>
      <xdr:rowOff>501900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16653235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234</xdr:row>
      <xdr:rowOff>0</xdr:rowOff>
    </xdr:from>
    <xdr:to>
      <xdr:col>0</xdr:col>
      <xdr:colOff>1268383</xdr:colOff>
      <xdr:row>234</xdr:row>
      <xdr:rowOff>501900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17157500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235</xdr:row>
      <xdr:rowOff>0</xdr:rowOff>
    </xdr:from>
    <xdr:to>
      <xdr:col>0</xdr:col>
      <xdr:colOff>1268383</xdr:colOff>
      <xdr:row>235</xdr:row>
      <xdr:rowOff>501900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17661765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236</xdr:row>
      <xdr:rowOff>0</xdr:rowOff>
    </xdr:from>
    <xdr:to>
      <xdr:col>0</xdr:col>
      <xdr:colOff>1268383</xdr:colOff>
      <xdr:row>236</xdr:row>
      <xdr:rowOff>501900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18166029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237</xdr:row>
      <xdr:rowOff>0</xdr:rowOff>
    </xdr:from>
    <xdr:to>
      <xdr:col>0</xdr:col>
      <xdr:colOff>1268383</xdr:colOff>
      <xdr:row>237</xdr:row>
      <xdr:rowOff>501900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18670294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238</xdr:row>
      <xdr:rowOff>0</xdr:rowOff>
    </xdr:from>
    <xdr:to>
      <xdr:col>0</xdr:col>
      <xdr:colOff>1268383</xdr:colOff>
      <xdr:row>238</xdr:row>
      <xdr:rowOff>501900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19174559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239</xdr:row>
      <xdr:rowOff>0</xdr:rowOff>
    </xdr:from>
    <xdr:to>
      <xdr:col>0</xdr:col>
      <xdr:colOff>1268383</xdr:colOff>
      <xdr:row>239</xdr:row>
      <xdr:rowOff>501900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19678824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240</xdr:row>
      <xdr:rowOff>0</xdr:rowOff>
    </xdr:from>
    <xdr:to>
      <xdr:col>0</xdr:col>
      <xdr:colOff>1268383</xdr:colOff>
      <xdr:row>240</xdr:row>
      <xdr:rowOff>501900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0183088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241</xdr:row>
      <xdr:rowOff>0</xdr:rowOff>
    </xdr:from>
    <xdr:to>
      <xdr:col>0</xdr:col>
      <xdr:colOff>1268383</xdr:colOff>
      <xdr:row>241</xdr:row>
      <xdr:rowOff>501900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0687353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242</xdr:row>
      <xdr:rowOff>0</xdr:rowOff>
    </xdr:from>
    <xdr:to>
      <xdr:col>0</xdr:col>
      <xdr:colOff>1268383</xdr:colOff>
      <xdr:row>242</xdr:row>
      <xdr:rowOff>501900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1191618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243</xdr:row>
      <xdr:rowOff>0</xdr:rowOff>
    </xdr:from>
    <xdr:to>
      <xdr:col>0</xdr:col>
      <xdr:colOff>1268383</xdr:colOff>
      <xdr:row>243</xdr:row>
      <xdr:rowOff>501900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1695882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244</xdr:row>
      <xdr:rowOff>0</xdr:rowOff>
    </xdr:from>
    <xdr:to>
      <xdr:col>0</xdr:col>
      <xdr:colOff>1268383</xdr:colOff>
      <xdr:row>244</xdr:row>
      <xdr:rowOff>501900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2200147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245</xdr:row>
      <xdr:rowOff>0</xdr:rowOff>
    </xdr:from>
    <xdr:to>
      <xdr:col>0</xdr:col>
      <xdr:colOff>1268383</xdr:colOff>
      <xdr:row>245</xdr:row>
      <xdr:rowOff>501900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2704412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246</xdr:row>
      <xdr:rowOff>0</xdr:rowOff>
    </xdr:from>
    <xdr:to>
      <xdr:col>0</xdr:col>
      <xdr:colOff>1268383</xdr:colOff>
      <xdr:row>246</xdr:row>
      <xdr:rowOff>501900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3208676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247</xdr:row>
      <xdr:rowOff>0</xdr:rowOff>
    </xdr:from>
    <xdr:to>
      <xdr:col>0</xdr:col>
      <xdr:colOff>1268383</xdr:colOff>
      <xdr:row>247</xdr:row>
      <xdr:rowOff>501900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3712941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248</xdr:row>
      <xdr:rowOff>0</xdr:rowOff>
    </xdr:from>
    <xdr:to>
      <xdr:col>0</xdr:col>
      <xdr:colOff>1268383</xdr:colOff>
      <xdr:row>248</xdr:row>
      <xdr:rowOff>501900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4217206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249</xdr:row>
      <xdr:rowOff>0</xdr:rowOff>
    </xdr:from>
    <xdr:to>
      <xdr:col>0</xdr:col>
      <xdr:colOff>1268383</xdr:colOff>
      <xdr:row>249</xdr:row>
      <xdr:rowOff>501900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4721471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250</xdr:row>
      <xdr:rowOff>0</xdr:rowOff>
    </xdr:from>
    <xdr:to>
      <xdr:col>0</xdr:col>
      <xdr:colOff>1268383</xdr:colOff>
      <xdr:row>250</xdr:row>
      <xdr:rowOff>501900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5225735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251</xdr:row>
      <xdr:rowOff>0</xdr:rowOff>
    </xdr:from>
    <xdr:to>
      <xdr:col>0</xdr:col>
      <xdr:colOff>1268383</xdr:colOff>
      <xdr:row>251</xdr:row>
      <xdr:rowOff>501900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5730000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252</xdr:row>
      <xdr:rowOff>0</xdr:rowOff>
    </xdr:from>
    <xdr:to>
      <xdr:col>0</xdr:col>
      <xdr:colOff>1268383</xdr:colOff>
      <xdr:row>252</xdr:row>
      <xdr:rowOff>501900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6234265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253</xdr:row>
      <xdr:rowOff>0</xdr:rowOff>
    </xdr:from>
    <xdr:to>
      <xdr:col>0</xdr:col>
      <xdr:colOff>1268383</xdr:colOff>
      <xdr:row>253</xdr:row>
      <xdr:rowOff>501900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6738529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254</xdr:row>
      <xdr:rowOff>0</xdr:rowOff>
    </xdr:from>
    <xdr:to>
      <xdr:col>0</xdr:col>
      <xdr:colOff>1268383</xdr:colOff>
      <xdr:row>254</xdr:row>
      <xdr:rowOff>501900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7242794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255</xdr:row>
      <xdr:rowOff>0</xdr:rowOff>
    </xdr:from>
    <xdr:to>
      <xdr:col>0</xdr:col>
      <xdr:colOff>1268383</xdr:colOff>
      <xdr:row>255</xdr:row>
      <xdr:rowOff>501900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27747059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315</xdr:row>
      <xdr:rowOff>0</xdr:rowOff>
    </xdr:from>
    <xdr:to>
      <xdr:col>0</xdr:col>
      <xdr:colOff>1338552</xdr:colOff>
      <xdr:row>315</xdr:row>
      <xdr:rowOff>501900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6994412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316</xdr:row>
      <xdr:rowOff>0</xdr:rowOff>
    </xdr:from>
    <xdr:to>
      <xdr:col>0</xdr:col>
      <xdr:colOff>1338552</xdr:colOff>
      <xdr:row>316</xdr:row>
      <xdr:rowOff>501900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7498676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317</xdr:row>
      <xdr:rowOff>0</xdr:rowOff>
    </xdr:from>
    <xdr:to>
      <xdr:col>0</xdr:col>
      <xdr:colOff>1338552</xdr:colOff>
      <xdr:row>317</xdr:row>
      <xdr:rowOff>501900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8002941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318</xdr:row>
      <xdr:rowOff>0</xdr:rowOff>
    </xdr:from>
    <xdr:to>
      <xdr:col>0</xdr:col>
      <xdr:colOff>1338552</xdr:colOff>
      <xdr:row>318</xdr:row>
      <xdr:rowOff>501900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8507206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319</xdr:row>
      <xdr:rowOff>0</xdr:rowOff>
    </xdr:from>
    <xdr:to>
      <xdr:col>0</xdr:col>
      <xdr:colOff>1338552</xdr:colOff>
      <xdr:row>319</xdr:row>
      <xdr:rowOff>501900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9011471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320</xdr:row>
      <xdr:rowOff>0</xdr:rowOff>
    </xdr:from>
    <xdr:to>
      <xdr:col>0</xdr:col>
      <xdr:colOff>1338552</xdr:colOff>
      <xdr:row>320</xdr:row>
      <xdr:rowOff>501900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951573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321</xdr:row>
      <xdr:rowOff>0</xdr:rowOff>
    </xdr:from>
    <xdr:to>
      <xdr:col>0</xdr:col>
      <xdr:colOff>1338552</xdr:colOff>
      <xdr:row>321</xdr:row>
      <xdr:rowOff>501900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0020000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322</xdr:row>
      <xdr:rowOff>0</xdr:rowOff>
    </xdr:from>
    <xdr:to>
      <xdr:col>0</xdr:col>
      <xdr:colOff>1338552</xdr:colOff>
      <xdr:row>322</xdr:row>
      <xdr:rowOff>501900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052426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717177</xdr:colOff>
      <xdr:row>323</xdr:row>
      <xdr:rowOff>11206</xdr:rowOff>
    </xdr:from>
    <xdr:to>
      <xdr:col>0</xdr:col>
      <xdr:colOff>1327346</xdr:colOff>
      <xdr:row>324</xdr:row>
      <xdr:rowOff>8841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7" y="16103973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324</xdr:row>
      <xdr:rowOff>0</xdr:rowOff>
    </xdr:from>
    <xdr:to>
      <xdr:col>0</xdr:col>
      <xdr:colOff>1338552</xdr:colOff>
      <xdr:row>324</xdr:row>
      <xdr:rowOff>501900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153279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325</xdr:row>
      <xdr:rowOff>0</xdr:rowOff>
    </xdr:from>
    <xdr:to>
      <xdr:col>0</xdr:col>
      <xdr:colOff>1338552</xdr:colOff>
      <xdr:row>325</xdr:row>
      <xdr:rowOff>501900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203705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326</xdr:row>
      <xdr:rowOff>0</xdr:rowOff>
    </xdr:from>
    <xdr:to>
      <xdr:col>0</xdr:col>
      <xdr:colOff>1338552</xdr:colOff>
      <xdr:row>326</xdr:row>
      <xdr:rowOff>501900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254132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327</xdr:row>
      <xdr:rowOff>0</xdr:rowOff>
    </xdr:from>
    <xdr:to>
      <xdr:col>0</xdr:col>
      <xdr:colOff>1338552</xdr:colOff>
      <xdr:row>327</xdr:row>
      <xdr:rowOff>501900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3045588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328</xdr:row>
      <xdr:rowOff>0</xdr:rowOff>
    </xdr:from>
    <xdr:to>
      <xdr:col>0</xdr:col>
      <xdr:colOff>1338552</xdr:colOff>
      <xdr:row>328</xdr:row>
      <xdr:rowOff>501900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3549853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329</xdr:row>
      <xdr:rowOff>0</xdr:rowOff>
    </xdr:from>
    <xdr:to>
      <xdr:col>0</xdr:col>
      <xdr:colOff>1338552</xdr:colOff>
      <xdr:row>329</xdr:row>
      <xdr:rowOff>501900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4054118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338</xdr:row>
      <xdr:rowOff>0</xdr:rowOff>
    </xdr:from>
    <xdr:to>
      <xdr:col>0</xdr:col>
      <xdr:colOff>1338552</xdr:colOff>
      <xdr:row>338</xdr:row>
      <xdr:rowOff>501900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8592500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337</xdr:row>
      <xdr:rowOff>0</xdr:rowOff>
    </xdr:from>
    <xdr:to>
      <xdr:col>0</xdr:col>
      <xdr:colOff>1338552</xdr:colOff>
      <xdr:row>337</xdr:row>
      <xdr:rowOff>501900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808823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336</xdr:row>
      <xdr:rowOff>0</xdr:rowOff>
    </xdr:from>
    <xdr:to>
      <xdr:col>0</xdr:col>
      <xdr:colOff>1338552</xdr:colOff>
      <xdr:row>336</xdr:row>
      <xdr:rowOff>501900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7583971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335</xdr:row>
      <xdr:rowOff>0</xdr:rowOff>
    </xdr:from>
    <xdr:to>
      <xdr:col>0</xdr:col>
      <xdr:colOff>1339301</xdr:colOff>
      <xdr:row>335</xdr:row>
      <xdr:rowOff>501900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7079706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334</xdr:row>
      <xdr:rowOff>0</xdr:rowOff>
    </xdr:from>
    <xdr:to>
      <xdr:col>0</xdr:col>
      <xdr:colOff>1339301</xdr:colOff>
      <xdr:row>334</xdr:row>
      <xdr:rowOff>501900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6575441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333</xdr:row>
      <xdr:rowOff>0</xdr:rowOff>
    </xdr:from>
    <xdr:to>
      <xdr:col>0</xdr:col>
      <xdr:colOff>1339301</xdr:colOff>
      <xdr:row>333</xdr:row>
      <xdr:rowOff>501900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6071176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332</xdr:row>
      <xdr:rowOff>0</xdr:rowOff>
    </xdr:from>
    <xdr:to>
      <xdr:col>0</xdr:col>
      <xdr:colOff>1338552</xdr:colOff>
      <xdr:row>332</xdr:row>
      <xdr:rowOff>501900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5566912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331</xdr:row>
      <xdr:rowOff>0</xdr:rowOff>
    </xdr:from>
    <xdr:to>
      <xdr:col>0</xdr:col>
      <xdr:colOff>1338552</xdr:colOff>
      <xdr:row>331</xdr:row>
      <xdr:rowOff>501900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5062647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330</xdr:row>
      <xdr:rowOff>0</xdr:rowOff>
    </xdr:from>
    <xdr:to>
      <xdr:col>0</xdr:col>
      <xdr:colOff>1338552</xdr:colOff>
      <xdr:row>330</xdr:row>
      <xdr:rowOff>501900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4558382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308</xdr:row>
      <xdr:rowOff>0</xdr:rowOff>
    </xdr:from>
    <xdr:to>
      <xdr:col>0</xdr:col>
      <xdr:colOff>1338552</xdr:colOff>
      <xdr:row>308</xdr:row>
      <xdr:rowOff>501900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346455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309</xdr:row>
      <xdr:rowOff>0</xdr:rowOff>
    </xdr:from>
    <xdr:to>
      <xdr:col>0</xdr:col>
      <xdr:colOff>1338552</xdr:colOff>
      <xdr:row>309</xdr:row>
      <xdr:rowOff>501900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396882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310</xdr:row>
      <xdr:rowOff>0</xdr:rowOff>
    </xdr:from>
    <xdr:to>
      <xdr:col>0</xdr:col>
      <xdr:colOff>1338552</xdr:colOff>
      <xdr:row>310</xdr:row>
      <xdr:rowOff>501900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4473088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769204</xdr:colOff>
      <xdr:row>312</xdr:row>
      <xdr:rowOff>27215</xdr:rowOff>
    </xdr:from>
    <xdr:to>
      <xdr:col>0</xdr:col>
      <xdr:colOff>1379373</xdr:colOff>
      <xdr:row>312</xdr:row>
      <xdr:rowOff>500540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204" y="155508833"/>
          <a:ext cx="610169" cy="473325"/>
        </a:xfrm>
        <a:prstGeom prst="rect">
          <a:avLst/>
        </a:prstGeom>
      </xdr:spPr>
    </xdr:pic>
    <xdr:clientData/>
  </xdr:twoCellAnchor>
  <xdr:twoCellAnchor>
    <xdr:from>
      <xdr:col>0</xdr:col>
      <xdr:colOff>769205</xdr:colOff>
      <xdr:row>313</xdr:row>
      <xdr:rowOff>27215</xdr:rowOff>
    </xdr:from>
    <xdr:to>
      <xdr:col>0</xdr:col>
      <xdr:colOff>1379374</xdr:colOff>
      <xdr:row>313</xdr:row>
      <xdr:rowOff>500540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205" y="156013097"/>
          <a:ext cx="610169" cy="473325"/>
        </a:xfrm>
        <a:prstGeom prst="rect">
          <a:avLst/>
        </a:prstGeom>
      </xdr:spPr>
    </xdr:pic>
    <xdr:clientData/>
  </xdr:twoCellAnchor>
  <xdr:twoCellAnchor>
    <xdr:from>
      <xdr:col>0</xdr:col>
      <xdr:colOff>782811</xdr:colOff>
      <xdr:row>314</xdr:row>
      <xdr:rowOff>27214</xdr:rowOff>
    </xdr:from>
    <xdr:to>
      <xdr:col>0</xdr:col>
      <xdr:colOff>1392980</xdr:colOff>
      <xdr:row>314</xdr:row>
      <xdr:rowOff>500539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11" y="156517361"/>
          <a:ext cx="610169" cy="473325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311</xdr:row>
      <xdr:rowOff>0</xdr:rowOff>
    </xdr:from>
    <xdr:to>
      <xdr:col>0</xdr:col>
      <xdr:colOff>1338553</xdr:colOff>
      <xdr:row>311</xdr:row>
      <xdr:rowOff>501900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4977353"/>
          <a:ext cx="61017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284</xdr:row>
      <xdr:rowOff>0</xdr:rowOff>
    </xdr:from>
    <xdr:to>
      <xdr:col>0</xdr:col>
      <xdr:colOff>1337983</xdr:colOff>
      <xdr:row>284</xdr:row>
      <xdr:rowOff>501650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1362206"/>
          <a:ext cx="609600" cy="50165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285</xdr:row>
      <xdr:rowOff>0</xdr:rowOff>
    </xdr:from>
    <xdr:to>
      <xdr:col>0</xdr:col>
      <xdr:colOff>1338552</xdr:colOff>
      <xdr:row>285</xdr:row>
      <xdr:rowOff>501900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1866471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286</xdr:row>
      <xdr:rowOff>0</xdr:rowOff>
    </xdr:from>
    <xdr:to>
      <xdr:col>0</xdr:col>
      <xdr:colOff>1338552</xdr:colOff>
      <xdr:row>286</xdr:row>
      <xdr:rowOff>501900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237073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287</xdr:row>
      <xdr:rowOff>0</xdr:rowOff>
    </xdr:from>
    <xdr:to>
      <xdr:col>0</xdr:col>
      <xdr:colOff>1338552</xdr:colOff>
      <xdr:row>287</xdr:row>
      <xdr:rowOff>501900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2875000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288</xdr:row>
      <xdr:rowOff>0</xdr:rowOff>
    </xdr:from>
    <xdr:to>
      <xdr:col>0</xdr:col>
      <xdr:colOff>1338552</xdr:colOff>
      <xdr:row>288</xdr:row>
      <xdr:rowOff>501900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337926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289</xdr:row>
      <xdr:rowOff>0</xdr:rowOff>
    </xdr:from>
    <xdr:to>
      <xdr:col>0</xdr:col>
      <xdr:colOff>1338552</xdr:colOff>
      <xdr:row>289</xdr:row>
      <xdr:rowOff>501900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388352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290</xdr:row>
      <xdr:rowOff>0</xdr:rowOff>
    </xdr:from>
    <xdr:to>
      <xdr:col>0</xdr:col>
      <xdr:colOff>1338552</xdr:colOff>
      <xdr:row>290</xdr:row>
      <xdr:rowOff>501900</xdr:rowOff>
    </xdr:to>
    <xdr:pic>
      <xdr:nvPicPr>
        <xdr:cNvPr id="215" name="Рисунок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438779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291</xdr:row>
      <xdr:rowOff>0</xdr:rowOff>
    </xdr:from>
    <xdr:to>
      <xdr:col>0</xdr:col>
      <xdr:colOff>1338552</xdr:colOff>
      <xdr:row>291</xdr:row>
      <xdr:rowOff>501900</xdr:rowOff>
    </xdr:to>
    <xdr:pic>
      <xdr:nvPicPr>
        <xdr:cNvPr id="216" name="Рисунок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489205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292</xdr:row>
      <xdr:rowOff>0</xdr:rowOff>
    </xdr:from>
    <xdr:to>
      <xdr:col>0</xdr:col>
      <xdr:colOff>1338552</xdr:colOff>
      <xdr:row>292</xdr:row>
      <xdr:rowOff>501900</xdr:rowOff>
    </xdr:to>
    <xdr:pic>
      <xdr:nvPicPr>
        <xdr:cNvPr id="217" name="Рисунок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539632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293</xdr:row>
      <xdr:rowOff>0</xdr:rowOff>
    </xdr:from>
    <xdr:to>
      <xdr:col>0</xdr:col>
      <xdr:colOff>1338552</xdr:colOff>
      <xdr:row>293</xdr:row>
      <xdr:rowOff>501900</xdr:rowOff>
    </xdr:to>
    <xdr:pic>
      <xdr:nvPicPr>
        <xdr:cNvPr id="218" name="Рисунок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5900588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294</xdr:row>
      <xdr:rowOff>0</xdr:rowOff>
    </xdr:from>
    <xdr:to>
      <xdr:col>0</xdr:col>
      <xdr:colOff>1338552</xdr:colOff>
      <xdr:row>294</xdr:row>
      <xdr:rowOff>501900</xdr:rowOff>
    </xdr:to>
    <xdr:pic>
      <xdr:nvPicPr>
        <xdr:cNvPr id="219" name="Рисунок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6404853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295</xdr:row>
      <xdr:rowOff>0</xdr:rowOff>
    </xdr:from>
    <xdr:to>
      <xdr:col>0</xdr:col>
      <xdr:colOff>1338552</xdr:colOff>
      <xdr:row>295</xdr:row>
      <xdr:rowOff>501900</xdr:rowOff>
    </xdr:to>
    <xdr:pic>
      <xdr:nvPicPr>
        <xdr:cNvPr id="220" name="Рисунок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6909118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296</xdr:row>
      <xdr:rowOff>0</xdr:rowOff>
    </xdr:from>
    <xdr:to>
      <xdr:col>0</xdr:col>
      <xdr:colOff>1338552</xdr:colOff>
      <xdr:row>296</xdr:row>
      <xdr:rowOff>501900</xdr:rowOff>
    </xdr:to>
    <xdr:pic>
      <xdr:nvPicPr>
        <xdr:cNvPr id="221" name="Рисунок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7413382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297</xdr:row>
      <xdr:rowOff>0</xdr:rowOff>
    </xdr:from>
    <xdr:to>
      <xdr:col>0</xdr:col>
      <xdr:colOff>1338552</xdr:colOff>
      <xdr:row>297</xdr:row>
      <xdr:rowOff>501900</xdr:rowOff>
    </xdr:to>
    <xdr:pic>
      <xdr:nvPicPr>
        <xdr:cNvPr id="222" name="Рисунок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7917647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298</xdr:row>
      <xdr:rowOff>0</xdr:rowOff>
    </xdr:from>
    <xdr:to>
      <xdr:col>0</xdr:col>
      <xdr:colOff>1338552</xdr:colOff>
      <xdr:row>298</xdr:row>
      <xdr:rowOff>501900</xdr:rowOff>
    </xdr:to>
    <xdr:pic>
      <xdr:nvPicPr>
        <xdr:cNvPr id="223" name="Рисунок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8421912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307</xdr:row>
      <xdr:rowOff>0</xdr:rowOff>
    </xdr:from>
    <xdr:to>
      <xdr:col>0</xdr:col>
      <xdr:colOff>1338552</xdr:colOff>
      <xdr:row>307</xdr:row>
      <xdr:rowOff>501900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296029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306</xdr:row>
      <xdr:rowOff>0</xdr:rowOff>
    </xdr:from>
    <xdr:to>
      <xdr:col>0</xdr:col>
      <xdr:colOff>1338552</xdr:colOff>
      <xdr:row>306</xdr:row>
      <xdr:rowOff>501900</xdr:rowOff>
    </xdr:to>
    <xdr:pic>
      <xdr:nvPicPr>
        <xdr:cNvPr id="225" name="Рисунок 224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245602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305</xdr:row>
      <xdr:rowOff>0</xdr:rowOff>
    </xdr:from>
    <xdr:to>
      <xdr:col>0</xdr:col>
      <xdr:colOff>1338552</xdr:colOff>
      <xdr:row>305</xdr:row>
      <xdr:rowOff>501900</xdr:rowOff>
    </xdr:to>
    <xdr:pic>
      <xdr:nvPicPr>
        <xdr:cNvPr id="226" name="Рисунок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195176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304</xdr:row>
      <xdr:rowOff>0</xdr:rowOff>
    </xdr:from>
    <xdr:to>
      <xdr:col>0</xdr:col>
      <xdr:colOff>1339301</xdr:colOff>
      <xdr:row>304</xdr:row>
      <xdr:rowOff>501900</xdr:rowOff>
    </xdr:to>
    <xdr:pic>
      <xdr:nvPicPr>
        <xdr:cNvPr id="227" name="Рисунок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1447500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303</xdr:row>
      <xdr:rowOff>0</xdr:rowOff>
    </xdr:from>
    <xdr:to>
      <xdr:col>0</xdr:col>
      <xdr:colOff>1339301</xdr:colOff>
      <xdr:row>303</xdr:row>
      <xdr:rowOff>501900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0943235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302</xdr:row>
      <xdr:rowOff>0</xdr:rowOff>
    </xdr:from>
    <xdr:to>
      <xdr:col>0</xdr:col>
      <xdr:colOff>1339301</xdr:colOff>
      <xdr:row>302</xdr:row>
      <xdr:rowOff>501900</xdr:rowOff>
    </xdr:to>
    <xdr:pic>
      <xdr:nvPicPr>
        <xdr:cNvPr id="229" name="Рисунок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50438971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301</xdr:row>
      <xdr:rowOff>0</xdr:rowOff>
    </xdr:from>
    <xdr:to>
      <xdr:col>0</xdr:col>
      <xdr:colOff>1338552</xdr:colOff>
      <xdr:row>301</xdr:row>
      <xdr:rowOff>501900</xdr:rowOff>
    </xdr:to>
    <xdr:pic>
      <xdr:nvPicPr>
        <xdr:cNvPr id="230" name="Рисунок 229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9934706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300</xdr:row>
      <xdr:rowOff>0</xdr:rowOff>
    </xdr:from>
    <xdr:to>
      <xdr:col>0</xdr:col>
      <xdr:colOff>1338552</xdr:colOff>
      <xdr:row>300</xdr:row>
      <xdr:rowOff>501900</xdr:rowOff>
    </xdr:to>
    <xdr:pic>
      <xdr:nvPicPr>
        <xdr:cNvPr id="231" name="Рисунок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9430441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299</xdr:row>
      <xdr:rowOff>0</xdr:rowOff>
    </xdr:from>
    <xdr:to>
      <xdr:col>0</xdr:col>
      <xdr:colOff>1338552</xdr:colOff>
      <xdr:row>299</xdr:row>
      <xdr:rowOff>501900</xdr:rowOff>
    </xdr:to>
    <xdr:pic>
      <xdr:nvPicPr>
        <xdr:cNvPr id="232" name="Рисунок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48926176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363</xdr:row>
      <xdr:rowOff>0</xdr:rowOff>
    </xdr:from>
    <xdr:to>
      <xdr:col>0</xdr:col>
      <xdr:colOff>1338552</xdr:colOff>
      <xdr:row>363</xdr:row>
      <xdr:rowOff>501900</xdr:rowOff>
    </xdr:to>
    <xdr:pic>
      <xdr:nvPicPr>
        <xdr:cNvPr id="233" name="Рисунок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1199118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364</xdr:row>
      <xdr:rowOff>0</xdr:rowOff>
    </xdr:from>
    <xdr:to>
      <xdr:col>0</xdr:col>
      <xdr:colOff>1338552</xdr:colOff>
      <xdr:row>364</xdr:row>
      <xdr:rowOff>501900</xdr:rowOff>
    </xdr:to>
    <xdr:pic>
      <xdr:nvPicPr>
        <xdr:cNvPr id="234" name="Рисунок 233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1703382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365</xdr:row>
      <xdr:rowOff>0</xdr:rowOff>
    </xdr:from>
    <xdr:to>
      <xdr:col>0</xdr:col>
      <xdr:colOff>1338552</xdr:colOff>
      <xdr:row>365</xdr:row>
      <xdr:rowOff>501900</xdr:rowOff>
    </xdr:to>
    <xdr:pic>
      <xdr:nvPicPr>
        <xdr:cNvPr id="235" name="Рисунок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2207647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769204</xdr:colOff>
      <xdr:row>367</xdr:row>
      <xdr:rowOff>27215</xdr:rowOff>
    </xdr:from>
    <xdr:to>
      <xdr:col>0</xdr:col>
      <xdr:colOff>1379373</xdr:colOff>
      <xdr:row>367</xdr:row>
      <xdr:rowOff>500540</xdr:rowOff>
    </xdr:to>
    <xdr:pic>
      <xdr:nvPicPr>
        <xdr:cNvPr id="236" name="Рисунок 235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204" y="183243391"/>
          <a:ext cx="610169" cy="473325"/>
        </a:xfrm>
        <a:prstGeom prst="rect">
          <a:avLst/>
        </a:prstGeom>
      </xdr:spPr>
    </xdr:pic>
    <xdr:clientData/>
  </xdr:twoCellAnchor>
  <xdr:twoCellAnchor>
    <xdr:from>
      <xdr:col>0</xdr:col>
      <xdr:colOff>769205</xdr:colOff>
      <xdr:row>368</xdr:row>
      <xdr:rowOff>27215</xdr:rowOff>
    </xdr:from>
    <xdr:to>
      <xdr:col>0</xdr:col>
      <xdr:colOff>1379374</xdr:colOff>
      <xdr:row>368</xdr:row>
      <xdr:rowOff>500540</xdr:rowOff>
    </xdr:to>
    <xdr:pic>
      <xdr:nvPicPr>
        <xdr:cNvPr id="237" name="Рисунок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205" y="183747656"/>
          <a:ext cx="610169" cy="473325"/>
        </a:xfrm>
        <a:prstGeom prst="rect">
          <a:avLst/>
        </a:prstGeom>
      </xdr:spPr>
    </xdr:pic>
    <xdr:clientData/>
  </xdr:twoCellAnchor>
  <xdr:twoCellAnchor>
    <xdr:from>
      <xdr:col>0</xdr:col>
      <xdr:colOff>782811</xdr:colOff>
      <xdr:row>369</xdr:row>
      <xdr:rowOff>27214</xdr:rowOff>
    </xdr:from>
    <xdr:to>
      <xdr:col>0</xdr:col>
      <xdr:colOff>1392980</xdr:colOff>
      <xdr:row>369</xdr:row>
      <xdr:rowOff>500539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811" y="184251920"/>
          <a:ext cx="610169" cy="473325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366</xdr:row>
      <xdr:rowOff>0</xdr:rowOff>
    </xdr:from>
    <xdr:to>
      <xdr:col>0</xdr:col>
      <xdr:colOff>1338553</xdr:colOff>
      <xdr:row>366</xdr:row>
      <xdr:rowOff>501900</xdr:rowOff>
    </xdr:to>
    <xdr:pic>
      <xdr:nvPicPr>
        <xdr:cNvPr id="239" name="Рисунок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2711912"/>
          <a:ext cx="610170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339</xdr:row>
      <xdr:rowOff>0</xdr:rowOff>
    </xdr:from>
    <xdr:to>
      <xdr:col>0</xdr:col>
      <xdr:colOff>1338552</xdr:colOff>
      <xdr:row>339</xdr:row>
      <xdr:rowOff>501900</xdr:rowOff>
    </xdr:to>
    <xdr:pic>
      <xdr:nvPicPr>
        <xdr:cNvPr id="240" name="Рисунок 239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909676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340</xdr:row>
      <xdr:rowOff>0</xdr:rowOff>
    </xdr:from>
    <xdr:to>
      <xdr:col>0</xdr:col>
      <xdr:colOff>1338552</xdr:colOff>
      <xdr:row>340</xdr:row>
      <xdr:rowOff>501900</xdr:rowOff>
    </xdr:to>
    <xdr:pic>
      <xdr:nvPicPr>
        <xdr:cNvPr id="241" name="Рисунок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6960102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341</xdr:row>
      <xdr:rowOff>0</xdr:rowOff>
    </xdr:from>
    <xdr:to>
      <xdr:col>0</xdr:col>
      <xdr:colOff>1338552</xdr:colOff>
      <xdr:row>341</xdr:row>
      <xdr:rowOff>501900</xdr:rowOff>
    </xdr:to>
    <xdr:pic>
      <xdr:nvPicPr>
        <xdr:cNvPr id="242" name="Рисунок 241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010529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342</xdr:row>
      <xdr:rowOff>0</xdr:rowOff>
    </xdr:from>
    <xdr:to>
      <xdr:col>0</xdr:col>
      <xdr:colOff>1338552</xdr:colOff>
      <xdr:row>342</xdr:row>
      <xdr:rowOff>501900</xdr:rowOff>
    </xdr:to>
    <xdr:pic>
      <xdr:nvPicPr>
        <xdr:cNvPr id="243" name="Рисунок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060955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343</xdr:row>
      <xdr:rowOff>0</xdr:rowOff>
    </xdr:from>
    <xdr:to>
      <xdr:col>0</xdr:col>
      <xdr:colOff>1338552</xdr:colOff>
      <xdr:row>343</xdr:row>
      <xdr:rowOff>501900</xdr:rowOff>
    </xdr:to>
    <xdr:pic>
      <xdr:nvPicPr>
        <xdr:cNvPr id="244" name="Рисунок 243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111382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344</xdr:row>
      <xdr:rowOff>0</xdr:rowOff>
    </xdr:from>
    <xdr:to>
      <xdr:col>0</xdr:col>
      <xdr:colOff>1338552</xdr:colOff>
      <xdr:row>344</xdr:row>
      <xdr:rowOff>501900</xdr:rowOff>
    </xdr:to>
    <xdr:pic>
      <xdr:nvPicPr>
        <xdr:cNvPr id="245" name="Рисунок 24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1618088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345</xdr:row>
      <xdr:rowOff>0</xdr:rowOff>
    </xdr:from>
    <xdr:to>
      <xdr:col>0</xdr:col>
      <xdr:colOff>1338552</xdr:colOff>
      <xdr:row>345</xdr:row>
      <xdr:rowOff>501900</xdr:rowOff>
    </xdr:to>
    <xdr:pic>
      <xdr:nvPicPr>
        <xdr:cNvPr id="246" name="Рисунок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2122353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346</xdr:row>
      <xdr:rowOff>0</xdr:rowOff>
    </xdr:from>
    <xdr:to>
      <xdr:col>0</xdr:col>
      <xdr:colOff>1338552</xdr:colOff>
      <xdr:row>346</xdr:row>
      <xdr:rowOff>501900</xdr:rowOff>
    </xdr:to>
    <xdr:pic>
      <xdr:nvPicPr>
        <xdr:cNvPr id="247" name="Рисунок 246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2626618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347</xdr:row>
      <xdr:rowOff>0</xdr:rowOff>
    </xdr:from>
    <xdr:to>
      <xdr:col>0</xdr:col>
      <xdr:colOff>1338552</xdr:colOff>
      <xdr:row>347</xdr:row>
      <xdr:rowOff>501900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3130882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348</xdr:row>
      <xdr:rowOff>0</xdr:rowOff>
    </xdr:from>
    <xdr:to>
      <xdr:col>0</xdr:col>
      <xdr:colOff>1338552</xdr:colOff>
      <xdr:row>348</xdr:row>
      <xdr:rowOff>501900</xdr:rowOff>
    </xdr:to>
    <xdr:pic>
      <xdr:nvPicPr>
        <xdr:cNvPr id="249" name="Рисунок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3635147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349</xdr:row>
      <xdr:rowOff>0</xdr:rowOff>
    </xdr:from>
    <xdr:to>
      <xdr:col>0</xdr:col>
      <xdr:colOff>1338552</xdr:colOff>
      <xdr:row>349</xdr:row>
      <xdr:rowOff>501900</xdr:rowOff>
    </xdr:to>
    <xdr:pic>
      <xdr:nvPicPr>
        <xdr:cNvPr id="250" name="Рисунок 24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4139412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350</xdr:row>
      <xdr:rowOff>0</xdr:rowOff>
    </xdr:from>
    <xdr:to>
      <xdr:col>0</xdr:col>
      <xdr:colOff>1338552</xdr:colOff>
      <xdr:row>350</xdr:row>
      <xdr:rowOff>501900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4643676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351</xdr:row>
      <xdr:rowOff>0</xdr:rowOff>
    </xdr:from>
    <xdr:to>
      <xdr:col>0</xdr:col>
      <xdr:colOff>1338552</xdr:colOff>
      <xdr:row>351</xdr:row>
      <xdr:rowOff>501900</xdr:rowOff>
    </xdr:to>
    <xdr:pic>
      <xdr:nvPicPr>
        <xdr:cNvPr id="252" name="Рисунок 251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5147941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352</xdr:row>
      <xdr:rowOff>0</xdr:rowOff>
    </xdr:from>
    <xdr:to>
      <xdr:col>0</xdr:col>
      <xdr:colOff>1338552</xdr:colOff>
      <xdr:row>352</xdr:row>
      <xdr:rowOff>501900</xdr:rowOff>
    </xdr:to>
    <xdr:pic>
      <xdr:nvPicPr>
        <xdr:cNvPr id="253" name="Рисунок 25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5652206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353</xdr:row>
      <xdr:rowOff>0</xdr:rowOff>
    </xdr:from>
    <xdr:to>
      <xdr:col>0</xdr:col>
      <xdr:colOff>1338552</xdr:colOff>
      <xdr:row>353</xdr:row>
      <xdr:rowOff>501900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6156471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362</xdr:row>
      <xdr:rowOff>0</xdr:rowOff>
    </xdr:from>
    <xdr:to>
      <xdr:col>0</xdr:col>
      <xdr:colOff>1338552</xdr:colOff>
      <xdr:row>362</xdr:row>
      <xdr:rowOff>501900</xdr:rowOff>
    </xdr:to>
    <xdr:pic>
      <xdr:nvPicPr>
        <xdr:cNvPr id="255" name="Рисунок 254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0694853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361</xdr:row>
      <xdr:rowOff>0</xdr:rowOff>
    </xdr:from>
    <xdr:to>
      <xdr:col>0</xdr:col>
      <xdr:colOff>1338552</xdr:colOff>
      <xdr:row>361</xdr:row>
      <xdr:rowOff>501900</xdr:rowOff>
    </xdr:to>
    <xdr:pic>
      <xdr:nvPicPr>
        <xdr:cNvPr id="256" name="Рисунок 255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0190588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360</xdr:row>
      <xdr:rowOff>0</xdr:rowOff>
    </xdr:from>
    <xdr:to>
      <xdr:col>0</xdr:col>
      <xdr:colOff>1338552</xdr:colOff>
      <xdr:row>360</xdr:row>
      <xdr:rowOff>501900</xdr:rowOff>
    </xdr:to>
    <xdr:pic>
      <xdr:nvPicPr>
        <xdr:cNvPr id="257" name="Рисунок 256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968632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359</xdr:row>
      <xdr:rowOff>0</xdr:rowOff>
    </xdr:from>
    <xdr:to>
      <xdr:col>0</xdr:col>
      <xdr:colOff>1339301</xdr:colOff>
      <xdr:row>359</xdr:row>
      <xdr:rowOff>501900</xdr:rowOff>
    </xdr:to>
    <xdr:pic>
      <xdr:nvPicPr>
        <xdr:cNvPr id="258" name="Рисунок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9182059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358</xdr:row>
      <xdr:rowOff>0</xdr:rowOff>
    </xdr:from>
    <xdr:to>
      <xdr:col>0</xdr:col>
      <xdr:colOff>1339301</xdr:colOff>
      <xdr:row>358</xdr:row>
      <xdr:rowOff>501900</xdr:rowOff>
    </xdr:to>
    <xdr:pic>
      <xdr:nvPicPr>
        <xdr:cNvPr id="259" name="Рисунок 258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8677794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357</xdr:row>
      <xdr:rowOff>0</xdr:rowOff>
    </xdr:from>
    <xdr:to>
      <xdr:col>0</xdr:col>
      <xdr:colOff>1339301</xdr:colOff>
      <xdr:row>357</xdr:row>
      <xdr:rowOff>501900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8173529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356</xdr:row>
      <xdr:rowOff>0</xdr:rowOff>
    </xdr:from>
    <xdr:to>
      <xdr:col>0</xdr:col>
      <xdr:colOff>1338552</xdr:colOff>
      <xdr:row>356</xdr:row>
      <xdr:rowOff>501900</xdr:rowOff>
    </xdr:to>
    <xdr:pic>
      <xdr:nvPicPr>
        <xdr:cNvPr id="261" name="Рисунок 260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766926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355</xdr:row>
      <xdr:rowOff>0</xdr:rowOff>
    </xdr:from>
    <xdr:to>
      <xdr:col>0</xdr:col>
      <xdr:colOff>1338552</xdr:colOff>
      <xdr:row>355</xdr:row>
      <xdr:rowOff>501900</xdr:rowOff>
    </xdr:to>
    <xdr:pic>
      <xdr:nvPicPr>
        <xdr:cNvPr id="262" name="Рисунок 261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7165000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354</xdr:row>
      <xdr:rowOff>0</xdr:rowOff>
    </xdr:from>
    <xdr:to>
      <xdr:col>0</xdr:col>
      <xdr:colOff>1338552</xdr:colOff>
      <xdr:row>354</xdr:row>
      <xdr:rowOff>501900</xdr:rowOff>
    </xdr:to>
    <xdr:pic>
      <xdr:nvPicPr>
        <xdr:cNvPr id="263" name="Рисунок 262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7666073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370</xdr:row>
      <xdr:rowOff>0</xdr:rowOff>
    </xdr:from>
    <xdr:to>
      <xdr:col>0</xdr:col>
      <xdr:colOff>1338552</xdr:colOff>
      <xdr:row>370</xdr:row>
      <xdr:rowOff>501900</xdr:rowOff>
    </xdr:to>
    <xdr:pic>
      <xdr:nvPicPr>
        <xdr:cNvPr id="264" name="Рисунок 263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4728971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371</xdr:row>
      <xdr:rowOff>0</xdr:rowOff>
    </xdr:from>
    <xdr:to>
      <xdr:col>0</xdr:col>
      <xdr:colOff>1338552</xdr:colOff>
      <xdr:row>371</xdr:row>
      <xdr:rowOff>501900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523323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372</xdr:row>
      <xdr:rowOff>0</xdr:rowOff>
    </xdr:from>
    <xdr:to>
      <xdr:col>0</xdr:col>
      <xdr:colOff>1338552</xdr:colOff>
      <xdr:row>372</xdr:row>
      <xdr:rowOff>501900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5737500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373</xdr:row>
      <xdr:rowOff>0</xdr:rowOff>
    </xdr:from>
    <xdr:to>
      <xdr:col>0</xdr:col>
      <xdr:colOff>1338552</xdr:colOff>
      <xdr:row>373</xdr:row>
      <xdr:rowOff>501900</xdr:rowOff>
    </xdr:to>
    <xdr:pic>
      <xdr:nvPicPr>
        <xdr:cNvPr id="267" name="Рисунок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6241765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374</xdr:row>
      <xdr:rowOff>0</xdr:rowOff>
    </xdr:from>
    <xdr:to>
      <xdr:col>0</xdr:col>
      <xdr:colOff>1338552</xdr:colOff>
      <xdr:row>374</xdr:row>
      <xdr:rowOff>501900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674602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375</xdr:row>
      <xdr:rowOff>0</xdr:rowOff>
    </xdr:from>
    <xdr:to>
      <xdr:col>0</xdr:col>
      <xdr:colOff>1338552</xdr:colOff>
      <xdr:row>375</xdr:row>
      <xdr:rowOff>501900</xdr:rowOff>
    </xdr:to>
    <xdr:pic>
      <xdr:nvPicPr>
        <xdr:cNvPr id="269" name="Рисунок 268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725029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376</xdr:row>
      <xdr:rowOff>0</xdr:rowOff>
    </xdr:from>
    <xdr:to>
      <xdr:col>0</xdr:col>
      <xdr:colOff>1338552</xdr:colOff>
      <xdr:row>376</xdr:row>
      <xdr:rowOff>501900</xdr:rowOff>
    </xdr:to>
    <xdr:pic>
      <xdr:nvPicPr>
        <xdr:cNvPr id="270" name="Рисунок 269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775455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377</xdr:row>
      <xdr:rowOff>0</xdr:rowOff>
    </xdr:from>
    <xdr:to>
      <xdr:col>0</xdr:col>
      <xdr:colOff>1338552</xdr:colOff>
      <xdr:row>377</xdr:row>
      <xdr:rowOff>501900</xdr:rowOff>
    </xdr:to>
    <xdr:pic>
      <xdr:nvPicPr>
        <xdr:cNvPr id="271" name="Рисунок 27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825882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378</xdr:row>
      <xdr:rowOff>0</xdr:rowOff>
    </xdr:from>
    <xdr:to>
      <xdr:col>0</xdr:col>
      <xdr:colOff>1338552</xdr:colOff>
      <xdr:row>378</xdr:row>
      <xdr:rowOff>501900</xdr:rowOff>
    </xdr:to>
    <xdr:pic>
      <xdr:nvPicPr>
        <xdr:cNvPr id="272" name="Рисунок 271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8763088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379</xdr:row>
      <xdr:rowOff>0</xdr:rowOff>
    </xdr:from>
    <xdr:to>
      <xdr:col>0</xdr:col>
      <xdr:colOff>1338552</xdr:colOff>
      <xdr:row>379</xdr:row>
      <xdr:rowOff>501900</xdr:rowOff>
    </xdr:to>
    <xdr:pic>
      <xdr:nvPicPr>
        <xdr:cNvPr id="273" name="Рисунок 272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9267353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380</xdr:row>
      <xdr:rowOff>0</xdr:rowOff>
    </xdr:from>
    <xdr:to>
      <xdr:col>0</xdr:col>
      <xdr:colOff>1338552</xdr:colOff>
      <xdr:row>380</xdr:row>
      <xdr:rowOff>501900</xdr:rowOff>
    </xdr:to>
    <xdr:pic>
      <xdr:nvPicPr>
        <xdr:cNvPr id="274" name="Рисунок 273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89771618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381</xdr:row>
      <xdr:rowOff>0</xdr:rowOff>
    </xdr:from>
    <xdr:to>
      <xdr:col>0</xdr:col>
      <xdr:colOff>1338552</xdr:colOff>
      <xdr:row>381</xdr:row>
      <xdr:rowOff>501900</xdr:rowOff>
    </xdr:to>
    <xdr:pic>
      <xdr:nvPicPr>
        <xdr:cNvPr id="275" name="Рисунок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0275882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382</xdr:row>
      <xdr:rowOff>0</xdr:rowOff>
    </xdr:from>
    <xdr:to>
      <xdr:col>0</xdr:col>
      <xdr:colOff>1338552</xdr:colOff>
      <xdr:row>382</xdr:row>
      <xdr:rowOff>501900</xdr:rowOff>
    </xdr:to>
    <xdr:pic>
      <xdr:nvPicPr>
        <xdr:cNvPr id="276" name="Рисунок 275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0780147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383</xdr:row>
      <xdr:rowOff>0</xdr:rowOff>
    </xdr:from>
    <xdr:to>
      <xdr:col>0</xdr:col>
      <xdr:colOff>1338552</xdr:colOff>
      <xdr:row>383</xdr:row>
      <xdr:rowOff>501900</xdr:rowOff>
    </xdr:to>
    <xdr:pic>
      <xdr:nvPicPr>
        <xdr:cNvPr id="277" name="Рисунок 276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1284412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384</xdr:row>
      <xdr:rowOff>0</xdr:rowOff>
    </xdr:from>
    <xdr:to>
      <xdr:col>0</xdr:col>
      <xdr:colOff>1338552</xdr:colOff>
      <xdr:row>384</xdr:row>
      <xdr:rowOff>501900</xdr:rowOff>
    </xdr:to>
    <xdr:pic>
      <xdr:nvPicPr>
        <xdr:cNvPr id="278" name="Рисунок 277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1788676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393</xdr:row>
      <xdr:rowOff>0</xdr:rowOff>
    </xdr:from>
    <xdr:to>
      <xdr:col>0</xdr:col>
      <xdr:colOff>1338552</xdr:colOff>
      <xdr:row>393</xdr:row>
      <xdr:rowOff>501900</xdr:rowOff>
    </xdr:to>
    <xdr:pic>
      <xdr:nvPicPr>
        <xdr:cNvPr id="279" name="Рисунок 278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632705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392</xdr:row>
      <xdr:rowOff>0</xdr:rowOff>
    </xdr:from>
    <xdr:to>
      <xdr:col>0</xdr:col>
      <xdr:colOff>1338552</xdr:colOff>
      <xdr:row>392</xdr:row>
      <xdr:rowOff>501900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5822794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391</xdr:row>
      <xdr:rowOff>0</xdr:rowOff>
    </xdr:from>
    <xdr:to>
      <xdr:col>0</xdr:col>
      <xdr:colOff>1338552</xdr:colOff>
      <xdr:row>391</xdr:row>
      <xdr:rowOff>501900</xdr:rowOff>
    </xdr:to>
    <xdr:pic>
      <xdr:nvPicPr>
        <xdr:cNvPr id="281" name="Рисунок 280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531852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390</xdr:row>
      <xdr:rowOff>0</xdr:rowOff>
    </xdr:from>
    <xdr:to>
      <xdr:col>0</xdr:col>
      <xdr:colOff>1339301</xdr:colOff>
      <xdr:row>390</xdr:row>
      <xdr:rowOff>501900</xdr:rowOff>
    </xdr:to>
    <xdr:pic>
      <xdr:nvPicPr>
        <xdr:cNvPr id="282" name="Рисунок 281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4814265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389</xdr:row>
      <xdr:rowOff>0</xdr:rowOff>
    </xdr:from>
    <xdr:to>
      <xdr:col>0</xdr:col>
      <xdr:colOff>1339301</xdr:colOff>
      <xdr:row>389</xdr:row>
      <xdr:rowOff>501900</xdr:rowOff>
    </xdr:to>
    <xdr:pic>
      <xdr:nvPicPr>
        <xdr:cNvPr id="283" name="Рисунок 282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4310000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388</xdr:row>
      <xdr:rowOff>0</xdr:rowOff>
    </xdr:from>
    <xdr:to>
      <xdr:col>0</xdr:col>
      <xdr:colOff>1339301</xdr:colOff>
      <xdr:row>388</xdr:row>
      <xdr:rowOff>501900</xdr:rowOff>
    </xdr:to>
    <xdr:pic>
      <xdr:nvPicPr>
        <xdr:cNvPr id="284" name="Рисунок 283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3805735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387</xdr:row>
      <xdr:rowOff>0</xdr:rowOff>
    </xdr:from>
    <xdr:to>
      <xdr:col>0</xdr:col>
      <xdr:colOff>1338552</xdr:colOff>
      <xdr:row>387</xdr:row>
      <xdr:rowOff>501900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3301471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386</xdr:row>
      <xdr:rowOff>0</xdr:rowOff>
    </xdr:from>
    <xdr:to>
      <xdr:col>0</xdr:col>
      <xdr:colOff>1338552</xdr:colOff>
      <xdr:row>386</xdr:row>
      <xdr:rowOff>501900</xdr:rowOff>
    </xdr:to>
    <xdr:pic>
      <xdr:nvPicPr>
        <xdr:cNvPr id="286" name="Рисунок 285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2797206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385</xdr:row>
      <xdr:rowOff>0</xdr:rowOff>
    </xdr:from>
    <xdr:to>
      <xdr:col>0</xdr:col>
      <xdr:colOff>1338552</xdr:colOff>
      <xdr:row>385</xdr:row>
      <xdr:rowOff>501900</xdr:rowOff>
    </xdr:to>
    <xdr:pic>
      <xdr:nvPicPr>
        <xdr:cNvPr id="287" name="Рисунок 286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192292941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202303</xdr:colOff>
      <xdr:row>399</xdr:row>
      <xdr:rowOff>71157</xdr:rowOff>
    </xdr:from>
    <xdr:to>
      <xdr:col>0</xdr:col>
      <xdr:colOff>2308412</xdr:colOff>
      <xdr:row>401</xdr:row>
      <xdr:rowOff>453215</xdr:rowOff>
    </xdr:to>
    <xdr:pic>
      <xdr:nvPicPr>
        <xdr:cNvPr id="292" name="Рисунок 291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7" t="17334" r="15771" b="10157"/>
        <a:stretch/>
      </xdr:blipFill>
      <xdr:spPr>
        <a:xfrm>
          <a:off x="202303" y="6122333"/>
          <a:ext cx="2106109" cy="1390588"/>
        </a:xfrm>
        <a:prstGeom prst="rect">
          <a:avLst/>
        </a:prstGeom>
      </xdr:spPr>
    </xdr:pic>
    <xdr:clientData/>
  </xdr:twoCellAnchor>
  <xdr:twoCellAnchor>
    <xdr:from>
      <xdr:col>0</xdr:col>
      <xdr:colOff>804083</xdr:colOff>
      <xdr:row>404</xdr:row>
      <xdr:rowOff>313765</xdr:rowOff>
    </xdr:from>
    <xdr:to>
      <xdr:col>0</xdr:col>
      <xdr:colOff>1861174</xdr:colOff>
      <xdr:row>405</xdr:row>
      <xdr:rowOff>437029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28" t="9765" r="21875" b="16016"/>
        <a:stretch/>
      </xdr:blipFill>
      <xdr:spPr>
        <a:xfrm>
          <a:off x="804083" y="190006941"/>
          <a:ext cx="1057091" cy="627529"/>
        </a:xfrm>
        <a:prstGeom prst="rect">
          <a:avLst/>
        </a:prstGeom>
      </xdr:spPr>
    </xdr:pic>
    <xdr:clientData/>
  </xdr:twoCellAnchor>
  <xdr:twoCellAnchor>
    <xdr:from>
      <xdr:col>0</xdr:col>
      <xdr:colOff>722777</xdr:colOff>
      <xdr:row>406</xdr:row>
      <xdr:rowOff>414618</xdr:rowOff>
    </xdr:from>
    <xdr:to>
      <xdr:col>0</xdr:col>
      <xdr:colOff>2238474</xdr:colOff>
      <xdr:row>408</xdr:row>
      <xdr:rowOff>448236</xdr:rowOff>
    </xdr:to>
    <xdr:pic>
      <xdr:nvPicPr>
        <xdr:cNvPr id="295" name="Рисунок 294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0" t="10156" r="15039" b="11719"/>
        <a:stretch/>
      </xdr:blipFill>
      <xdr:spPr>
        <a:xfrm>
          <a:off x="722777" y="191116324"/>
          <a:ext cx="1515697" cy="1042147"/>
        </a:xfrm>
        <a:prstGeom prst="rect">
          <a:avLst/>
        </a:prstGeom>
      </xdr:spPr>
    </xdr:pic>
    <xdr:clientData/>
  </xdr:twoCellAnchor>
  <xdr:twoCellAnchor>
    <xdr:from>
      <xdr:col>0</xdr:col>
      <xdr:colOff>668431</xdr:colOff>
      <xdr:row>409</xdr:row>
      <xdr:rowOff>181684</xdr:rowOff>
    </xdr:from>
    <xdr:to>
      <xdr:col>0</xdr:col>
      <xdr:colOff>1792941</xdr:colOff>
      <xdr:row>410</xdr:row>
      <xdr:rowOff>476624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87" t="10156" r="12353" b="12110"/>
        <a:stretch/>
      </xdr:blipFill>
      <xdr:spPr>
        <a:xfrm>
          <a:off x="668431" y="11869419"/>
          <a:ext cx="1124510" cy="799205"/>
        </a:xfrm>
        <a:prstGeom prst="rect">
          <a:avLst/>
        </a:prstGeom>
      </xdr:spPr>
    </xdr:pic>
    <xdr:clientData/>
  </xdr:twoCellAnchor>
  <xdr:twoCellAnchor>
    <xdr:from>
      <xdr:col>0</xdr:col>
      <xdr:colOff>519392</xdr:colOff>
      <xdr:row>410</xdr:row>
      <xdr:rowOff>381000</xdr:rowOff>
    </xdr:from>
    <xdr:to>
      <xdr:col>0</xdr:col>
      <xdr:colOff>2106706</xdr:colOff>
      <xdr:row>412</xdr:row>
      <xdr:rowOff>474571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10" t="6250" r="14550" b="7422"/>
        <a:stretch/>
      </xdr:blipFill>
      <xdr:spPr>
        <a:xfrm>
          <a:off x="519392" y="193099765"/>
          <a:ext cx="1587314" cy="1102100"/>
        </a:xfrm>
        <a:prstGeom prst="rect">
          <a:avLst/>
        </a:prstGeom>
      </xdr:spPr>
    </xdr:pic>
    <xdr:clientData/>
  </xdr:twoCellAnchor>
  <xdr:twoCellAnchor>
    <xdr:from>
      <xdr:col>0</xdr:col>
      <xdr:colOff>503706</xdr:colOff>
      <xdr:row>416</xdr:row>
      <xdr:rowOff>173131</xdr:rowOff>
    </xdr:from>
    <xdr:to>
      <xdr:col>0</xdr:col>
      <xdr:colOff>1737635</xdr:colOff>
      <xdr:row>418</xdr:row>
      <xdr:rowOff>373156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7" t="7566" r="21181" b="6845"/>
        <a:stretch/>
      </xdr:blipFill>
      <xdr:spPr>
        <a:xfrm>
          <a:off x="503706" y="7232837"/>
          <a:ext cx="1233929" cy="1208554"/>
        </a:xfrm>
        <a:prstGeom prst="rect">
          <a:avLst/>
        </a:prstGeom>
      </xdr:spPr>
    </xdr:pic>
    <xdr:clientData/>
  </xdr:twoCellAnchor>
  <xdr:twoCellAnchor>
    <xdr:from>
      <xdr:col>0</xdr:col>
      <xdr:colOff>876372</xdr:colOff>
      <xdr:row>463</xdr:row>
      <xdr:rowOff>1779</xdr:rowOff>
    </xdr:from>
    <xdr:to>
      <xdr:col>0</xdr:col>
      <xdr:colOff>1486542</xdr:colOff>
      <xdr:row>463</xdr:row>
      <xdr:rowOff>490419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72" y="11599867"/>
          <a:ext cx="610170" cy="488640"/>
        </a:xfrm>
        <a:prstGeom prst="rect">
          <a:avLst/>
        </a:prstGeom>
      </xdr:spPr>
    </xdr:pic>
    <xdr:clientData/>
  </xdr:twoCellAnchor>
  <xdr:twoCellAnchor>
    <xdr:from>
      <xdr:col>0</xdr:col>
      <xdr:colOff>834040</xdr:colOff>
      <xdr:row>463</xdr:row>
      <xdr:rowOff>495462</xdr:rowOff>
    </xdr:from>
    <xdr:to>
      <xdr:col>0</xdr:col>
      <xdr:colOff>1444209</xdr:colOff>
      <xdr:row>464</xdr:row>
      <xdr:rowOff>483572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40" y="12093550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834039</xdr:colOff>
      <xdr:row>464</xdr:row>
      <xdr:rowOff>495461</xdr:rowOff>
    </xdr:from>
    <xdr:to>
      <xdr:col>0</xdr:col>
      <xdr:colOff>1444208</xdr:colOff>
      <xdr:row>465</xdr:row>
      <xdr:rowOff>483571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39" y="12597814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834039</xdr:colOff>
      <xdr:row>466</xdr:row>
      <xdr:rowOff>495461</xdr:rowOff>
    </xdr:from>
    <xdr:to>
      <xdr:col>0</xdr:col>
      <xdr:colOff>1444209</xdr:colOff>
      <xdr:row>467</xdr:row>
      <xdr:rowOff>483571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39" y="13606343"/>
          <a:ext cx="610170" cy="49237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468</xdr:row>
      <xdr:rowOff>4803</xdr:rowOff>
    </xdr:from>
    <xdr:to>
      <xdr:col>0</xdr:col>
      <xdr:colOff>1416994</xdr:colOff>
      <xdr:row>468</xdr:row>
      <xdr:rowOff>478128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14124215"/>
          <a:ext cx="610169" cy="47332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468</xdr:row>
      <xdr:rowOff>495460</xdr:rowOff>
    </xdr:from>
    <xdr:to>
      <xdr:col>0</xdr:col>
      <xdr:colOff>1416994</xdr:colOff>
      <xdr:row>469</xdr:row>
      <xdr:rowOff>483571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14614872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469</xdr:row>
      <xdr:rowOff>495461</xdr:rowOff>
    </xdr:from>
    <xdr:to>
      <xdr:col>0</xdr:col>
      <xdr:colOff>1416994</xdr:colOff>
      <xdr:row>470</xdr:row>
      <xdr:rowOff>483571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15119137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471</xdr:row>
      <xdr:rowOff>495461</xdr:rowOff>
    </xdr:from>
    <xdr:to>
      <xdr:col>0</xdr:col>
      <xdr:colOff>1416994</xdr:colOff>
      <xdr:row>472</xdr:row>
      <xdr:rowOff>483571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16127667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474</xdr:row>
      <xdr:rowOff>495461</xdr:rowOff>
    </xdr:from>
    <xdr:to>
      <xdr:col>0</xdr:col>
      <xdr:colOff>1416994</xdr:colOff>
      <xdr:row>475</xdr:row>
      <xdr:rowOff>483571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17640461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476</xdr:row>
      <xdr:rowOff>4803</xdr:rowOff>
    </xdr:from>
    <xdr:to>
      <xdr:col>0</xdr:col>
      <xdr:colOff>1416994</xdr:colOff>
      <xdr:row>476</xdr:row>
      <xdr:rowOff>478128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18158332"/>
          <a:ext cx="610169" cy="47332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476</xdr:row>
      <xdr:rowOff>495461</xdr:rowOff>
    </xdr:from>
    <xdr:to>
      <xdr:col>0</xdr:col>
      <xdr:colOff>1416993</xdr:colOff>
      <xdr:row>477</xdr:row>
      <xdr:rowOff>483571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18648990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477</xdr:row>
      <xdr:rowOff>495461</xdr:rowOff>
    </xdr:from>
    <xdr:to>
      <xdr:col>0</xdr:col>
      <xdr:colOff>1416993</xdr:colOff>
      <xdr:row>478</xdr:row>
      <xdr:rowOff>483571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19153255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478</xdr:row>
      <xdr:rowOff>495461</xdr:rowOff>
    </xdr:from>
    <xdr:to>
      <xdr:col>0</xdr:col>
      <xdr:colOff>1416993</xdr:colOff>
      <xdr:row>479</xdr:row>
      <xdr:rowOff>483571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19657520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479</xdr:row>
      <xdr:rowOff>495460</xdr:rowOff>
    </xdr:from>
    <xdr:to>
      <xdr:col>0</xdr:col>
      <xdr:colOff>1416993</xdr:colOff>
      <xdr:row>480</xdr:row>
      <xdr:rowOff>483571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0161784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480</xdr:row>
      <xdr:rowOff>495461</xdr:rowOff>
    </xdr:from>
    <xdr:to>
      <xdr:col>0</xdr:col>
      <xdr:colOff>1416993</xdr:colOff>
      <xdr:row>481</xdr:row>
      <xdr:rowOff>483571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0666049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481</xdr:row>
      <xdr:rowOff>495461</xdr:rowOff>
    </xdr:from>
    <xdr:to>
      <xdr:col>0</xdr:col>
      <xdr:colOff>1416993</xdr:colOff>
      <xdr:row>482</xdr:row>
      <xdr:rowOff>483571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1170314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482</xdr:row>
      <xdr:rowOff>495460</xdr:rowOff>
    </xdr:from>
    <xdr:to>
      <xdr:col>0</xdr:col>
      <xdr:colOff>1416994</xdr:colOff>
      <xdr:row>483</xdr:row>
      <xdr:rowOff>483571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21674578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483</xdr:row>
      <xdr:rowOff>495461</xdr:rowOff>
    </xdr:from>
    <xdr:to>
      <xdr:col>0</xdr:col>
      <xdr:colOff>1416994</xdr:colOff>
      <xdr:row>484</xdr:row>
      <xdr:rowOff>483571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22178843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484</xdr:row>
      <xdr:rowOff>495461</xdr:rowOff>
    </xdr:from>
    <xdr:to>
      <xdr:col>0</xdr:col>
      <xdr:colOff>1416993</xdr:colOff>
      <xdr:row>485</xdr:row>
      <xdr:rowOff>483571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2683108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485</xdr:row>
      <xdr:rowOff>495460</xdr:rowOff>
    </xdr:from>
    <xdr:to>
      <xdr:col>0</xdr:col>
      <xdr:colOff>1416993</xdr:colOff>
      <xdr:row>486</xdr:row>
      <xdr:rowOff>483571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3187372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486</xdr:row>
      <xdr:rowOff>495461</xdr:rowOff>
    </xdr:from>
    <xdr:to>
      <xdr:col>0</xdr:col>
      <xdr:colOff>1416993</xdr:colOff>
      <xdr:row>487</xdr:row>
      <xdr:rowOff>483571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3691637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487</xdr:row>
      <xdr:rowOff>495461</xdr:rowOff>
    </xdr:from>
    <xdr:to>
      <xdr:col>0</xdr:col>
      <xdr:colOff>1416993</xdr:colOff>
      <xdr:row>488</xdr:row>
      <xdr:rowOff>483571</xdr:rowOff>
    </xdr:to>
    <xdr:pic>
      <xdr:nvPicPr>
        <xdr:cNvPr id="321" name="Рисунок 320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4195902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488</xdr:row>
      <xdr:rowOff>495461</xdr:rowOff>
    </xdr:from>
    <xdr:to>
      <xdr:col>0</xdr:col>
      <xdr:colOff>1416993</xdr:colOff>
      <xdr:row>489</xdr:row>
      <xdr:rowOff>483571</xdr:rowOff>
    </xdr:to>
    <xdr:pic>
      <xdr:nvPicPr>
        <xdr:cNvPr id="322" name="Рисунок 321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4700167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489</xdr:row>
      <xdr:rowOff>495460</xdr:rowOff>
    </xdr:from>
    <xdr:to>
      <xdr:col>0</xdr:col>
      <xdr:colOff>1416993</xdr:colOff>
      <xdr:row>490</xdr:row>
      <xdr:rowOff>483571</xdr:rowOff>
    </xdr:to>
    <xdr:pic>
      <xdr:nvPicPr>
        <xdr:cNvPr id="323" name="Рисунок 322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5204431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490</xdr:row>
      <xdr:rowOff>495461</xdr:rowOff>
    </xdr:from>
    <xdr:to>
      <xdr:col>0</xdr:col>
      <xdr:colOff>1416994</xdr:colOff>
      <xdr:row>491</xdr:row>
      <xdr:rowOff>483571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25708696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491</xdr:row>
      <xdr:rowOff>495461</xdr:rowOff>
    </xdr:from>
    <xdr:to>
      <xdr:col>0</xdr:col>
      <xdr:colOff>1416994</xdr:colOff>
      <xdr:row>492</xdr:row>
      <xdr:rowOff>483571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26212961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492</xdr:row>
      <xdr:rowOff>495460</xdr:rowOff>
    </xdr:from>
    <xdr:to>
      <xdr:col>0</xdr:col>
      <xdr:colOff>1416993</xdr:colOff>
      <xdr:row>493</xdr:row>
      <xdr:rowOff>483571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6717225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493</xdr:row>
      <xdr:rowOff>495461</xdr:rowOff>
    </xdr:from>
    <xdr:to>
      <xdr:col>0</xdr:col>
      <xdr:colOff>1416993</xdr:colOff>
      <xdr:row>494</xdr:row>
      <xdr:rowOff>483571</xdr:rowOff>
    </xdr:to>
    <xdr:pic>
      <xdr:nvPicPr>
        <xdr:cNvPr id="327" name="Рисунок 326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7221490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494</xdr:row>
      <xdr:rowOff>495461</xdr:rowOff>
    </xdr:from>
    <xdr:to>
      <xdr:col>0</xdr:col>
      <xdr:colOff>1416993</xdr:colOff>
      <xdr:row>495</xdr:row>
      <xdr:rowOff>483571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7725755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495</xdr:row>
      <xdr:rowOff>495461</xdr:rowOff>
    </xdr:from>
    <xdr:to>
      <xdr:col>0</xdr:col>
      <xdr:colOff>1416993</xdr:colOff>
      <xdr:row>496</xdr:row>
      <xdr:rowOff>483571</xdr:rowOff>
    </xdr:to>
    <xdr:pic>
      <xdr:nvPicPr>
        <xdr:cNvPr id="329" name="Рисунок 328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8230020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496</xdr:row>
      <xdr:rowOff>495460</xdr:rowOff>
    </xdr:from>
    <xdr:to>
      <xdr:col>0</xdr:col>
      <xdr:colOff>1416993</xdr:colOff>
      <xdr:row>497</xdr:row>
      <xdr:rowOff>483571</xdr:rowOff>
    </xdr:to>
    <xdr:pic>
      <xdr:nvPicPr>
        <xdr:cNvPr id="330" name="Рисунок 329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8734284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497</xdr:row>
      <xdr:rowOff>495461</xdr:rowOff>
    </xdr:from>
    <xdr:to>
      <xdr:col>0</xdr:col>
      <xdr:colOff>1416993</xdr:colOff>
      <xdr:row>498</xdr:row>
      <xdr:rowOff>483571</xdr:rowOff>
    </xdr:to>
    <xdr:pic>
      <xdr:nvPicPr>
        <xdr:cNvPr id="331" name="Рисунок 330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29238549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498</xdr:row>
      <xdr:rowOff>495461</xdr:rowOff>
    </xdr:from>
    <xdr:to>
      <xdr:col>0</xdr:col>
      <xdr:colOff>1416994</xdr:colOff>
      <xdr:row>499</xdr:row>
      <xdr:rowOff>483571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29742814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499</xdr:row>
      <xdr:rowOff>495460</xdr:rowOff>
    </xdr:from>
    <xdr:to>
      <xdr:col>0</xdr:col>
      <xdr:colOff>1416994</xdr:colOff>
      <xdr:row>500</xdr:row>
      <xdr:rowOff>483571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30247078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500</xdr:row>
      <xdr:rowOff>495461</xdr:rowOff>
    </xdr:from>
    <xdr:to>
      <xdr:col>0</xdr:col>
      <xdr:colOff>1416993</xdr:colOff>
      <xdr:row>501</xdr:row>
      <xdr:rowOff>483571</xdr:rowOff>
    </xdr:to>
    <xdr:pic>
      <xdr:nvPicPr>
        <xdr:cNvPr id="334" name="Рисунок 333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30751343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501</xdr:row>
      <xdr:rowOff>495461</xdr:rowOff>
    </xdr:from>
    <xdr:to>
      <xdr:col>0</xdr:col>
      <xdr:colOff>1416993</xdr:colOff>
      <xdr:row>502</xdr:row>
      <xdr:rowOff>483571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31255608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502</xdr:row>
      <xdr:rowOff>495460</xdr:rowOff>
    </xdr:from>
    <xdr:to>
      <xdr:col>0</xdr:col>
      <xdr:colOff>1416993</xdr:colOff>
      <xdr:row>503</xdr:row>
      <xdr:rowOff>483571</xdr:rowOff>
    </xdr:to>
    <xdr:pic>
      <xdr:nvPicPr>
        <xdr:cNvPr id="336" name="Рисунок 335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31759872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503</xdr:row>
      <xdr:rowOff>495461</xdr:rowOff>
    </xdr:from>
    <xdr:to>
      <xdr:col>0</xdr:col>
      <xdr:colOff>1416993</xdr:colOff>
      <xdr:row>504</xdr:row>
      <xdr:rowOff>483571</xdr:rowOff>
    </xdr:to>
    <xdr:pic>
      <xdr:nvPicPr>
        <xdr:cNvPr id="337" name="Рисунок 336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32264137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504</xdr:row>
      <xdr:rowOff>495461</xdr:rowOff>
    </xdr:from>
    <xdr:to>
      <xdr:col>0</xdr:col>
      <xdr:colOff>1416993</xdr:colOff>
      <xdr:row>505</xdr:row>
      <xdr:rowOff>483571</xdr:rowOff>
    </xdr:to>
    <xdr:pic>
      <xdr:nvPicPr>
        <xdr:cNvPr id="338" name="Рисунок 337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32768402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505</xdr:row>
      <xdr:rowOff>495461</xdr:rowOff>
    </xdr:from>
    <xdr:to>
      <xdr:col>0</xdr:col>
      <xdr:colOff>1416993</xdr:colOff>
      <xdr:row>506</xdr:row>
      <xdr:rowOff>483571</xdr:rowOff>
    </xdr:to>
    <xdr:pic>
      <xdr:nvPicPr>
        <xdr:cNvPr id="339" name="Рисунок 338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33272667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598</xdr:row>
      <xdr:rowOff>23812</xdr:rowOff>
    </xdr:from>
    <xdr:to>
      <xdr:col>0</xdr:col>
      <xdr:colOff>1473022</xdr:colOff>
      <xdr:row>599</xdr:row>
      <xdr:rowOff>2398</xdr:rowOff>
    </xdr:to>
    <xdr:pic>
      <xdr:nvPicPr>
        <xdr:cNvPr id="340" name="Рисунок 339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67595283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599</xdr:row>
      <xdr:rowOff>23812</xdr:rowOff>
    </xdr:from>
    <xdr:to>
      <xdr:col>0</xdr:col>
      <xdr:colOff>1473022</xdr:colOff>
      <xdr:row>600</xdr:row>
      <xdr:rowOff>2397</xdr:rowOff>
    </xdr:to>
    <xdr:pic>
      <xdr:nvPicPr>
        <xdr:cNvPr id="341" name="Рисунок 340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6809954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600</xdr:row>
      <xdr:rowOff>23812</xdr:rowOff>
    </xdr:from>
    <xdr:to>
      <xdr:col>0</xdr:col>
      <xdr:colOff>1473022</xdr:colOff>
      <xdr:row>601</xdr:row>
      <xdr:rowOff>2397</xdr:rowOff>
    </xdr:to>
    <xdr:pic>
      <xdr:nvPicPr>
        <xdr:cNvPr id="342" name="Рисунок 341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68603812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601</xdr:row>
      <xdr:rowOff>23812</xdr:rowOff>
    </xdr:from>
    <xdr:to>
      <xdr:col>0</xdr:col>
      <xdr:colOff>1473022</xdr:colOff>
      <xdr:row>602</xdr:row>
      <xdr:rowOff>2398</xdr:rowOff>
    </xdr:to>
    <xdr:pic>
      <xdr:nvPicPr>
        <xdr:cNvPr id="343" name="Рисунок 342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6910807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602</xdr:row>
      <xdr:rowOff>23812</xdr:rowOff>
    </xdr:from>
    <xdr:to>
      <xdr:col>0</xdr:col>
      <xdr:colOff>1473022</xdr:colOff>
      <xdr:row>603</xdr:row>
      <xdr:rowOff>2397</xdr:rowOff>
    </xdr:to>
    <xdr:pic>
      <xdr:nvPicPr>
        <xdr:cNvPr id="344" name="Рисунок 343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69612341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603</xdr:row>
      <xdr:rowOff>23812</xdr:rowOff>
    </xdr:from>
    <xdr:to>
      <xdr:col>0</xdr:col>
      <xdr:colOff>1473022</xdr:colOff>
      <xdr:row>604</xdr:row>
      <xdr:rowOff>2397</xdr:rowOff>
    </xdr:to>
    <xdr:pic>
      <xdr:nvPicPr>
        <xdr:cNvPr id="345" name="Рисунок 344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0116606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604</xdr:row>
      <xdr:rowOff>23812</xdr:rowOff>
    </xdr:from>
    <xdr:to>
      <xdr:col>0</xdr:col>
      <xdr:colOff>1473022</xdr:colOff>
      <xdr:row>605</xdr:row>
      <xdr:rowOff>2397</xdr:rowOff>
    </xdr:to>
    <xdr:pic>
      <xdr:nvPicPr>
        <xdr:cNvPr id="346" name="Рисунок 345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0620871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605</xdr:row>
      <xdr:rowOff>23812</xdr:rowOff>
    </xdr:from>
    <xdr:to>
      <xdr:col>0</xdr:col>
      <xdr:colOff>1473022</xdr:colOff>
      <xdr:row>606</xdr:row>
      <xdr:rowOff>2398</xdr:rowOff>
    </xdr:to>
    <xdr:pic>
      <xdr:nvPicPr>
        <xdr:cNvPr id="347" name="Рисунок 346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1125136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606</xdr:row>
      <xdr:rowOff>23812</xdr:rowOff>
    </xdr:from>
    <xdr:to>
      <xdr:col>0</xdr:col>
      <xdr:colOff>1473022</xdr:colOff>
      <xdr:row>607</xdr:row>
      <xdr:rowOff>2397</xdr:rowOff>
    </xdr:to>
    <xdr:pic>
      <xdr:nvPicPr>
        <xdr:cNvPr id="348" name="Рисунок 347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1629400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607</xdr:row>
      <xdr:rowOff>23812</xdr:rowOff>
    </xdr:from>
    <xdr:to>
      <xdr:col>0</xdr:col>
      <xdr:colOff>1473022</xdr:colOff>
      <xdr:row>608</xdr:row>
      <xdr:rowOff>2397</xdr:rowOff>
    </xdr:to>
    <xdr:pic>
      <xdr:nvPicPr>
        <xdr:cNvPr id="349" name="Рисунок 348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2133665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608</xdr:row>
      <xdr:rowOff>23812</xdr:rowOff>
    </xdr:from>
    <xdr:to>
      <xdr:col>0</xdr:col>
      <xdr:colOff>1473022</xdr:colOff>
      <xdr:row>609</xdr:row>
      <xdr:rowOff>2398</xdr:rowOff>
    </xdr:to>
    <xdr:pic>
      <xdr:nvPicPr>
        <xdr:cNvPr id="350" name="Рисунок 349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2637930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609</xdr:row>
      <xdr:rowOff>23812</xdr:rowOff>
    </xdr:from>
    <xdr:to>
      <xdr:col>0</xdr:col>
      <xdr:colOff>1473022</xdr:colOff>
      <xdr:row>610</xdr:row>
      <xdr:rowOff>2397</xdr:rowOff>
    </xdr:to>
    <xdr:pic>
      <xdr:nvPicPr>
        <xdr:cNvPr id="351" name="Рисунок 350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3142194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610</xdr:row>
      <xdr:rowOff>23812</xdr:rowOff>
    </xdr:from>
    <xdr:to>
      <xdr:col>0</xdr:col>
      <xdr:colOff>1473022</xdr:colOff>
      <xdr:row>611</xdr:row>
      <xdr:rowOff>2397</xdr:rowOff>
    </xdr:to>
    <xdr:pic>
      <xdr:nvPicPr>
        <xdr:cNvPr id="352" name="Рисунок 351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3646459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611</xdr:row>
      <xdr:rowOff>23812</xdr:rowOff>
    </xdr:from>
    <xdr:to>
      <xdr:col>0</xdr:col>
      <xdr:colOff>1473022</xdr:colOff>
      <xdr:row>612</xdr:row>
      <xdr:rowOff>2398</xdr:rowOff>
    </xdr:to>
    <xdr:pic>
      <xdr:nvPicPr>
        <xdr:cNvPr id="353" name="Рисунок 352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4150724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612</xdr:row>
      <xdr:rowOff>23812</xdr:rowOff>
    </xdr:from>
    <xdr:to>
      <xdr:col>0</xdr:col>
      <xdr:colOff>1473022</xdr:colOff>
      <xdr:row>613</xdr:row>
      <xdr:rowOff>2397</xdr:rowOff>
    </xdr:to>
    <xdr:pic>
      <xdr:nvPicPr>
        <xdr:cNvPr id="354" name="Рисунок 353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465498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613</xdr:row>
      <xdr:rowOff>23812</xdr:rowOff>
    </xdr:from>
    <xdr:to>
      <xdr:col>0</xdr:col>
      <xdr:colOff>1473022</xdr:colOff>
      <xdr:row>614</xdr:row>
      <xdr:rowOff>2397</xdr:rowOff>
    </xdr:to>
    <xdr:pic>
      <xdr:nvPicPr>
        <xdr:cNvPr id="355" name="Рисунок 354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5159253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614</xdr:row>
      <xdr:rowOff>23812</xdr:rowOff>
    </xdr:from>
    <xdr:to>
      <xdr:col>0</xdr:col>
      <xdr:colOff>1473022</xdr:colOff>
      <xdr:row>615</xdr:row>
      <xdr:rowOff>2397</xdr:rowOff>
    </xdr:to>
    <xdr:pic>
      <xdr:nvPicPr>
        <xdr:cNvPr id="356" name="Рисунок 355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566351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615</xdr:row>
      <xdr:rowOff>23812</xdr:rowOff>
    </xdr:from>
    <xdr:to>
      <xdr:col>0</xdr:col>
      <xdr:colOff>1473022</xdr:colOff>
      <xdr:row>616</xdr:row>
      <xdr:rowOff>2398</xdr:rowOff>
    </xdr:to>
    <xdr:pic>
      <xdr:nvPicPr>
        <xdr:cNvPr id="357" name="Рисунок 356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6167783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616</xdr:row>
      <xdr:rowOff>23812</xdr:rowOff>
    </xdr:from>
    <xdr:to>
      <xdr:col>0</xdr:col>
      <xdr:colOff>1473022</xdr:colOff>
      <xdr:row>617</xdr:row>
      <xdr:rowOff>2397</xdr:rowOff>
    </xdr:to>
    <xdr:pic>
      <xdr:nvPicPr>
        <xdr:cNvPr id="358" name="Рисунок 357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667204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617</xdr:row>
      <xdr:rowOff>23812</xdr:rowOff>
    </xdr:from>
    <xdr:to>
      <xdr:col>0</xdr:col>
      <xdr:colOff>1473022</xdr:colOff>
      <xdr:row>618</xdr:row>
      <xdr:rowOff>2397</xdr:rowOff>
    </xdr:to>
    <xdr:pic>
      <xdr:nvPicPr>
        <xdr:cNvPr id="359" name="Рисунок 358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7176312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618</xdr:row>
      <xdr:rowOff>23812</xdr:rowOff>
    </xdr:from>
    <xdr:to>
      <xdr:col>0</xdr:col>
      <xdr:colOff>1473022</xdr:colOff>
      <xdr:row>619</xdr:row>
      <xdr:rowOff>2398</xdr:rowOff>
    </xdr:to>
    <xdr:pic>
      <xdr:nvPicPr>
        <xdr:cNvPr id="360" name="Рисунок 359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768057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619</xdr:row>
      <xdr:rowOff>23812</xdr:rowOff>
    </xdr:from>
    <xdr:to>
      <xdr:col>0</xdr:col>
      <xdr:colOff>1473022</xdr:colOff>
      <xdr:row>620</xdr:row>
      <xdr:rowOff>2397</xdr:rowOff>
    </xdr:to>
    <xdr:pic>
      <xdr:nvPicPr>
        <xdr:cNvPr id="361" name="Рисунок 360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8184841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620</xdr:row>
      <xdr:rowOff>23812</xdr:rowOff>
    </xdr:from>
    <xdr:to>
      <xdr:col>0</xdr:col>
      <xdr:colOff>1473022</xdr:colOff>
      <xdr:row>621</xdr:row>
      <xdr:rowOff>2397</xdr:rowOff>
    </xdr:to>
    <xdr:pic>
      <xdr:nvPicPr>
        <xdr:cNvPr id="362" name="Рисунок 361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8689106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621</xdr:row>
      <xdr:rowOff>23812</xdr:rowOff>
    </xdr:from>
    <xdr:to>
      <xdr:col>0</xdr:col>
      <xdr:colOff>1473022</xdr:colOff>
      <xdr:row>622</xdr:row>
      <xdr:rowOff>2397</xdr:rowOff>
    </xdr:to>
    <xdr:pic>
      <xdr:nvPicPr>
        <xdr:cNvPr id="363" name="Рисунок 362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9193371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622</xdr:row>
      <xdr:rowOff>23812</xdr:rowOff>
    </xdr:from>
    <xdr:to>
      <xdr:col>0</xdr:col>
      <xdr:colOff>1473022</xdr:colOff>
      <xdr:row>623</xdr:row>
      <xdr:rowOff>2398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79697636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623</xdr:row>
      <xdr:rowOff>23812</xdr:rowOff>
    </xdr:from>
    <xdr:to>
      <xdr:col>0</xdr:col>
      <xdr:colOff>1473022</xdr:colOff>
      <xdr:row>624</xdr:row>
      <xdr:rowOff>2397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80201900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624</xdr:row>
      <xdr:rowOff>23812</xdr:rowOff>
    </xdr:from>
    <xdr:to>
      <xdr:col>0</xdr:col>
      <xdr:colOff>1473022</xdr:colOff>
      <xdr:row>625</xdr:row>
      <xdr:rowOff>2397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80706165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625</xdr:row>
      <xdr:rowOff>23812</xdr:rowOff>
    </xdr:from>
    <xdr:to>
      <xdr:col>0</xdr:col>
      <xdr:colOff>1473022</xdr:colOff>
      <xdr:row>626</xdr:row>
      <xdr:rowOff>2398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81210430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626</xdr:row>
      <xdr:rowOff>23812</xdr:rowOff>
    </xdr:from>
    <xdr:to>
      <xdr:col>0</xdr:col>
      <xdr:colOff>1473022</xdr:colOff>
      <xdr:row>627</xdr:row>
      <xdr:rowOff>2397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81714694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627</xdr:row>
      <xdr:rowOff>23812</xdr:rowOff>
    </xdr:from>
    <xdr:to>
      <xdr:col>0</xdr:col>
      <xdr:colOff>1473022</xdr:colOff>
      <xdr:row>628</xdr:row>
      <xdr:rowOff>2397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82218959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628</xdr:row>
      <xdr:rowOff>23812</xdr:rowOff>
    </xdr:from>
    <xdr:to>
      <xdr:col>0</xdr:col>
      <xdr:colOff>1473022</xdr:colOff>
      <xdr:row>629</xdr:row>
      <xdr:rowOff>2398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82723224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629</xdr:row>
      <xdr:rowOff>23812</xdr:rowOff>
    </xdr:from>
    <xdr:to>
      <xdr:col>0</xdr:col>
      <xdr:colOff>1473022</xdr:colOff>
      <xdr:row>630</xdr:row>
      <xdr:rowOff>2397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8322748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862854</xdr:colOff>
      <xdr:row>662</xdr:row>
      <xdr:rowOff>19050</xdr:rowOff>
    </xdr:from>
    <xdr:to>
      <xdr:col>0</xdr:col>
      <xdr:colOff>1473023</xdr:colOff>
      <xdr:row>662</xdr:row>
      <xdr:rowOff>501900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4" y="99863462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663</xdr:row>
      <xdr:rowOff>19050</xdr:rowOff>
    </xdr:from>
    <xdr:to>
      <xdr:col>0</xdr:col>
      <xdr:colOff>1473022</xdr:colOff>
      <xdr:row>663</xdr:row>
      <xdr:rowOff>501900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100367726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664</xdr:row>
      <xdr:rowOff>19050</xdr:rowOff>
    </xdr:from>
    <xdr:to>
      <xdr:col>0</xdr:col>
      <xdr:colOff>1473022</xdr:colOff>
      <xdr:row>664</xdr:row>
      <xdr:rowOff>501900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100871991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862854</xdr:colOff>
      <xdr:row>646</xdr:row>
      <xdr:rowOff>23812</xdr:rowOff>
    </xdr:from>
    <xdr:to>
      <xdr:col>0</xdr:col>
      <xdr:colOff>1473023</xdr:colOff>
      <xdr:row>647</xdr:row>
      <xdr:rowOff>2397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4" y="9179998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647</xdr:row>
      <xdr:rowOff>23812</xdr:rowOff>
    </xdr:from>
    <xdr:to>
      <xdr:col>0</xdr:col>
      <xdr:colOff>1473022</xdr:colOff>
      <xdr:row>648</xdr:row>
      <xdr:rowOff>2397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92304253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648</xdr:row>
      <xdr:rowOff>23812</xdr:rowOff>
    </xdr:from>
    <xdr:to>
      <xdr:col>0</xdr:col>
      <xdr:colOff>1473022</xdr:colOff>
      <xdr:row>649</xdr:row>
      <xdr:rowOff>2397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9280851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862854</xdr:colOff>
      <xdr:row>650</xdr:row>
      <xdr:rowOff>23812</xdr:rowOff>
    </xdr:from>
    <xdr:to>
      <xdr:col>0</xdr:col>
      <xdr:colOff>1473023</xdr:colOff>
      <xdr:row>651</xdr:row>
      <xdr:rowOff>2397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4" y="9381704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651</xdr:row>
      <xdr:rowOff>23812</xdr:rowOff>
    </xdr:from>
    <xdr:to>
      <xdr:col>0</xdr:col>
      <xdr:colOff>1473022</xdr:colOff>
      <xdr:row>652</xdr:row>
      <xdr:rowOff>2397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94321312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652</xdr:row>
      <xdr:rowOff>23812</xdr:rowOff>
    </xdr:from>
    <xdr:to>
      <xdr:col>0</xdr:col>
      <xdr:colOff>1473022</xdr:colOff>
      <xdr:row>653</xdr:row>
      <xdr:rowOff>2398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9482557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862854</xdr:colOff>
      <xdr:row>654</xdr:row>
      <xdr:rowOff>23812</xdr:rowOff>
    </xdr:from>
    <xdr:to>
      <xdr:col>0</xdr:col>
      <xdr:colOff>1473023</xdr:colOff>
      <xdr:row>655</xdr:row>
      <xdr:rowOff>2397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4" y="95834106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655</xdr:row>
      <xdr:rowOff>23812</xdr:rowOff>
    </xdr:from>
    <xdr:to>
      <xdr:col>0</xdr:col>
      <xdr:colOff>1473022</xdr:colOff>
      <xdr:row>656</xdr:row>
      <xdr:rowOff>2397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96338371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656</xdr:row>
      <xdr:rowOff>23812</xdr:rowOff>
    </xdr:from>
    <xdr:to>
      <xdr:col>0</xdr:col>
      <xdr:colOff>1473022</xdr:colOff>
      <xdr:row>657</xdr:row>
      <xdr:rowOff>2398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96842636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658</xdr:row>
      <xdr:rowOff>23812</xdr:rowOff>
    </xdr:from>
    <xdr:to>
      <xdr:col>0</xdr:col>
      <xdr:colOff>1473771</xdr:colOff>
      <xdr:row>659</xdr:row>
      <xdr:rowOff>2397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97851165"/>
          <a:ext cx="610918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659</xdr:row>
      <xdr:rowOff>23812</xdr:rowOff>
    </xdr:from>
    <xdr:to>
      <xdr:col>0</xdr:col>
      <xdr:colOff>1473771</xdr:colOff>
      <xdr:row>660</xdr:row>
      <xdr:rowOff>2398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98355430"/>
          <a:ext cx="610918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660</xdr:row>
      <xdr:rowOff>23812</xdr:rowOff>
    </xdr:from>
    <xdr:to>
      <xdr:col>0</xdr:col>
      <xdr:colOff>1473771</xdr:colOff>
      <xdr:row>661</xdr:row>
      <xdr:rowOff>2397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98859694"/>
          <a:ext cx="610918" cy="482850"/>
        </a:xfrm>
        <a:prstGeom prst="rect">
          <a:avLst/>
        </a:prstGeom>
      </xdr:spPr>
    </xdr:pic>
    <xdr:clientData/>
  </xdr:twoCellAnchor>
  <xdr:twoCellAnchor>
    <xdr:from>
      <xdr:col>0</xdr:col>
      <xdr:colOff>784413</xdr:colOff>
      <xdr:row>551</xdr:row>
      <xdr:rowOff>33618</xdr:rowOff>
    </xdr:from>
    <xdr:to>
      <xdr:col>0</xdr:col>
      <xdr:colOff>1394582</xdr:colOff>
      <xdr:row>552</xdr:row>
      <xdr:rowOff>12203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3" y="4390464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552</xdr:row>
      <xdr:rowOff>44824</xdr:rowOff>
    </xdr:from>
    <xdr:to>
      <xdr:col>0</xdr:col>
      <xdr:colOff>1428199</xdr:colOff>
      <xdr:row>553</xdr:row>
      <xdr:rowOff>23409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4442011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851648</xdr:colOff>
      <xdr:row>553</xdr:row>
      <xdr:rowOff>44823</xdr:rowOff>
    </xdr:from>
    <xdr:to>
      <xdr:col>0</xdr:col>
      <xdr:colOff>1461817</xdr:colOff>
      <xdr:row>554</xdr:row>
      <xdr:rowOff>23409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48" y="44924382"/>
          <a:ext cx="610169" cy="482851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554</xdr:row>
      <xdr:rowOff>0</xdr:rowOff>
    </xdr:from>
    <xdr:to>
      <xdr:col>0</xdr:col>
      <xdr:colOff>1495435</xdr:colOff>
      <xdr:row>554</xdr:row>
      <xdr:rowOff>482850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45383824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555</xdr:row>
      <xdr:rowOff>0</xdr:rowOff>
    </xdr:from>
    <xdr:to>
      <xdr:col>0</xdr:col>
      <xdr:colOff>1495435</xdr:colOff>
      <xdr:row>555</xdr:row>
      <xdr:rowOff>482850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4588808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556</xdr:row>
      <xdr:rowOff>0</xdr:rowOff>
    </xdr:from>
    <xdr:to>
      <xdr:col>0</xdr:col>
      <xdr:colOff>1495435</xdr:colOff>
      <xdr:row>556</xdr:row>
      <xdr:rowOff>482850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46392353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557</xdr:row>
      <xdr:rowOff>0</xdr:rowOff>
    </xdr:from>
    <xdr:to>
      <xdr:col>0</xdr:col>
      <xdr:colOff>1495435</xdr:colOff>
      <xdr:row>557</xdr:row>
      <xdr:rowOff>482850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4689661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566</xdr:row>
      <xdr:rowOff>0</xdr:rowOff>
    </xdr:from>
    <xdr:to>
      <xdr:col>0</xdr:col>
      <xdr:colOff>1495435</xdr:colOff>
      <xdr:row>566</xdr:row>
      <xdr:rowOff>482850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51435000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567</xdr:row>
      <xdr:rowOff>0</xdr:rowOff>
    </xdr:from>
    <xdr:to>
      <xdr:col>0</xdr:col>
      <xdr:colOff>1495435</xdr:colOff>
      <xdr:row>567</xdr:row>
      <xdr:rowOff>482850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51939265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568</xdr:row>
      <xdr:rowOff>0</xdr:rowOff>
    </xdr:from>
    <xdr:to>
      <xdr:col>0</xdr:col>
      <xdr:colOff>1495435</xdr:colOff>
      <xdr:row>568</xdr:row>
      <xdr:rowOff>482850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52443529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569</xdr:row>
      <xdr:rowOff>0</xdr:rowOff>
    </xdr:from>
    <xdr:to>
      <xdr:col>0</xdr:col>
      <xdr:colOff>1495435</xdr:colOff>
      <xdr:row>569</xdr:row>
      <xdr:rowOff>482850</xdr:rowOff>
    </xdr:to>
    <xdr:pic>
      <xdr:nvPicPr>
        <xdr:cNvPr id="397" name="Рисунок 396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52947794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570</xdr:row>
      <xdr:rowOff>0</xdr:rowOff>
    </xdr:from>
    <xdr:to>
      <xdr:col>0</xdr:col>
      <xdr:colOff>1495435</xdr:colOff>
      <xdr:row>570</xdr:row>
      <xdr:rowOff>482850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53452059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571</xdr:row>
      <xdr:rowOff>0</xdr:rowOff>
    </xdr:from>
    <xdr:to>
      <xdr:col>0</xdr:col>
      <xdr:colOff>1495435</xdr:colOff>
      <xdr:row>571</xdr:row>
      <xdr:rowOff>482850</xdr:rowOff>
    </xdr:to>
    <xdr:pic>
      <xdr:nvPicPr>
        <xdr:cNvPr id="399" name="Рисунок 398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53956324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572</xdr:row>
      <xdr:rowOff>0</xdr:rowOff>
    </xdr:from>
    <xdr:to>
      <xdr:col>0</xdr:col>
      <xdr:colOff>1495435</xdr:colOff>
      <xdr:row>572</xdr:row>
      <xdr:rowOff>482850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5446058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885266</xdr:colOff>
      <xdr:row>573</xdr:row>
      <xdr:rowOff>0</xdr:rowOff>
    </xdr:from>
    <xdr:to>
      <xdr:col>0</xdr:col>
      <xdr:colOff>1495435</xdr:colOff>
      <xdr:row>573</xdr:row>
      <xdr:rowOff>482850</xdr:rowOff>
    </xdr:to>
    <xdr:pic>
      <xdr:nvPicPr>
        <xdr:cNvPr id="401" name="Рисунок 400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266" y="54964853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574</xdr:row>
      <xdr:rowOff>0</xdr:rowOff>
    </xdr:from>
    <xdr:to>
      <xdr:col>0</xdr:col>
      <xdr:colOff>1484978</xdr:colOff>
      <xdr:row>574</xdr:row>
      <xdr:rowOff>482850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5469118"/>
          <a:ext cx="610918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575</xdr:row>
      <xdr:rowOff>0</xdr:rowOff>
    </xdr:from>
    <xdr:to>
      <xdr:col>0</xdr:col>
      <xdr:colOff>1484978</xdr:colOff>
      <xdr:row>575</xdr:row>
      <xdr:rowOff>482850</xdr:rowOff>
    </xdr:to>
    <xdr:pic>
      <xdr:nvPicPr>
        <xdr:cNvPr id="403" name="Рисунок 402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5973382"/>
          <a:ext cx="610918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576</xdr:row>
      <xdr:rowOff>0</xdr:rowOff>
    </xdr:from>
    <xdr:to>
      <xdr:col>0</xdr:col>
      <xdr:colOff>1484978</xdr:colOff>
      <xdr:row>576</xdr:row>
      <xdr:rowOff>482850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6477647"/>
          <a:ext cx="610918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577</xdr:row>
      <xdr:rowOff>0</xdr:rowOff>
    </xdr:from>
    <xdr:to>
      <xdr:col>0</xdr:col>
      <xdr:colOff>1484978</xdr:colOff>
      <xdr:row>577</xdr:row>
      <xdr:rowOff>482850</xdr:rowOff>
    </xdr:to>
    <xdr:pic>
      <xdr:nvPicPr>
        <xdr:cNvPr id="405" name="Рисунок 404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6981912"/>
          <a:ext cx="610918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578</xdr:row>
      <xdr:rowOff>0</xdr:rowOff>
    </xdr:from>
    <xdr:to>
      <xdr:col>0</xdr:col>
      <xdr:colOff>1484978</xdr:colOff>
      <xdr:row>578</xdr:row>
      <xdr:rowOff>482850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7486176"/>
          <a:ext cx="610918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579</xdr:row>
      <xdr:rowOff>0</xdr:rowOff>
    </xdr:from>
    <xdr:to>
      <xdr:col>0</xdr:col>
      <xdr:colOff>1484978</xdr:colOff>
      <xdr:row>579</xdr:row>
      <xdr:rowOff>482850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7990441"/>
          <a:ext cx="610918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580</xdr:row>
      <xdr:rowOff>0</xdr:rowOff>
    </xdr:from>
    <xdr:to>
      <xdr:col>0</xdr:col>
      <xdr:colOff>1484978</xdr:colOff>
      <xdr:row>580</xdr:row>
      <xdr:rowOff>482850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8494706"/>
          <a:ext cx="610918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581</xdr:row>
      <xdr:rowOff>0</xdr:rowOff>
    </xdr:from>
    <xdr:to>
      <xdr:col>0</xdr:col>
      <xdr:colOff>1484978</xdr:colOff>
      <xdr:row>581</xdr:row>
      <xdr:rowOff>482850</xdr:rowOff>
    </xdr:to>
    <xdr:pic>
      <xdr:nvPicPr>
        <xdr:cNvPr id="409" name="Рисунок 408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8998971"/>
          <a:ext cx="610918" cy="48285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589</xdr:row>
      <xdr:rowOff>0</xdr:rowOff>
    </xdr:from>
    <xdr:to>
      <xdr:col>0</xdr:col>
      <xdr:colOff>1450611</xdr:colOff>
      <xdr:row>589</xdr:row>
      <xdr:rowOff>482850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303308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590</xdr:row>
      <xdr:rowOff>0</xdr:rowOff>
    </xdr:from>
    <xdr:to>
      <xdr:col>0</xdr:col>
      <xdr:colOff>1450611</xdr:colOff>
      <xdr:row>590</xdr:row>
      <xdr:rowOff>482850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3537353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591</xdr:row>
      <xdr:rowOff>0</xdr:rowOff>
    </xdr:from>
    <xdr:to>
      <xdr:col>0</xdr:col>
      <xdr:colOff>1450611</xdr:colOff>
      <xdr:row>591</xdr:row>
      <xdr:rowOff>482850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404161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592</xdr:row>
      <xdr:rowOff>0</xdr:rowOff>
    </xdr:from>
    <xdr:to>
      <xdr:col>0</xdr:col>
      <xdr:colOff>1450611</xdr:colOff>
      <xdr:row>592</xdr:row>
      <xdr:rowOff>482850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4545882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593</xdr:row>
      <xdr:rowOff>0</xdr:rowOff>
    </xdr:from>
    <xdr:to>
      <xdr:col>0</xdr:col>
      <xdr:colOff>1450611</xdr:colOff>
      <xdr:row>593</xdr:row>
      <xdr:rowOff>482850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505014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594</xdr:row>
      <xdr:rowOff>0</xdr:rowOff>
    </xdr:from>
    <xdr:to>
      <xdr:col>0</xdr:col>
      <xdr:colOff>1450611</xdr:colOff>
      <xdr:row>594</xdr:row>
      <xdr:rowOff>482850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5554412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595</xdr:row>
      <xdr:rowOff>0</xdr:rowOff>
    </xdr:from>
    <xdr:to>
      <xdr:col>0</xdr:col>
      <xdr:colOff>1450611</xdr:colOff>
      <xdr:row>595</xdr:row>
      <xdr:rowOff>482850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6058676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661150</xdr:colOff>
      <xdr:row>528</xdr:row>
      <xdr:rowOff>0</xdr:rowOff>
    </xdr:from>
    <xdr:to>
      <xdr:col>0</xdr:col>
      <xdr:colOff>1397505</xdr:colOff>
      <xdr:row>529</xdr:row>
      <xdr:rowOff>78441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50" y="18837088"/>
          <a:ext cx="736355" cy="582706"/>
        </a:xfrm>
        <a:prstGeom prst="rect">
          <a:avLst/>
        </a:prstGeom>
      </xdr:spPr>
    </xdr:pic>
    <xdr:clientData/>
  </xdr:twoCellAnchor>
  <xdr:twoCellAnchor>
    <xdr:from>
      <xdr:col>0</xdr:col>
      <xdr:colOff>627532</xdr:colOff>
      <xdr:row>531</xdr:row>
      <xdr:rowOff>481852</xdr:rowOff>
    </xdr:from>
    <xdr:to>
      <xdr:col>0</xdr:col>
      <xdr:colOff>1344706</xdr:colOff>
      <xdr:row>533</xdr:row>
      <xdr:rowOff>40849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2" y="20831734"/>
          <a:ext cx="717174" cy="567527"/>
        </a:xfrm>
        <a:prstGeom prst="rect">
          <a:avLst/>
        </a:prstGeom>
      </xdr:spPr>
    </xdr:pic>
    <xdr:clientData/>
  </xdr:twoCellAnchor>
  <xdr:twoCellAnchor>
    <xdr:from>
      <xdr:col>0</xdr:col>
      <xdr:colOff>649943</xdr:colOff>
      <xdr:row>535</xdr:row>
      <xdr:rowOff>493059</xdr:rowOff>
    </xdr:from>
    <xdr:to>
      <xdr:col>0</xdr:col>
      <xdr:colOff>1411940</xdr:colOff>
      <xdr:row>537</xdr:row>
      <xdr:rowOff>30303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3" y="22860000"/>
          <a:ext cx="761997" cy="545774"/>
        </a:xfrm>
        <a:prstGeom prst="rect">
          <a:avLst/>
        </a:prstGeom>
      </xdr:spPr>
    </xdr:pic>
    <xdr:clientData/>
  </xdr:twoCellAnchor>
  <xdr:twoCellAnchor>
    <xdr:from>
      <xdr:col>0</xdr:col>
      <xdr:colOff>627532</xdr:colOff>
      <xdr:row>540</xdr:row>
      <xdr:rowOff>414617</xdr:rowOff>
    </xdr:from>
    <xdr:to>
      <xdr:col>0</xdr:col>
      <xdr:colOff>1546411</xdr:colOff>
      <xdr:row>542</xdr:row>
      <xdr:rowOff>133232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2" y="25302882"/>
          <a:ext cx="918879" cy="727144"/>
        </a:xfrm>
        <a:prstGeom prst="rect">
          <a:avLst/>
        </a:prstGeom>
      </xdr:spPr>
    </xdr:pic>
    <xdr:clientData/>
  </xdr:twoCellAnchor>
  <xdr:twoCellAnchor>
    <xdr:from>
      <xdr:col>0</xdr:col>
      <xdr:colOff>672355</xdr:colOff>
      <xdr:row>543</xdr:row>
      <xdr:rowOff>56029</xdr:rowOff>
    </xdr:from>
    <xdr:to>
      <xdr:col>0</xdr:col>
      <xdr:colOff>1282524</xdr:colOff>
      <xdr:row>544</xdr:row>
      <xdr:rowOff>34614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5" y="237564705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649944</xdr:colOff>
      <xdr:row>544</xdr:row>
      <xdr:rowOff>33619</xdr:rowOff>
    </xdr:from>
    <xdr:to>
      <xdr:col>0</xdr:col>
      <xdr:colOff>1260113</xdr:colOff>
      <xdr:row>545</xdr:row>
      <xdr:rowOff>12204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4" y="238046560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649942</xdr:colOff>
      <xdr:row>550</xdr:row>
      <xdr:rowOff>11206</xdr:rowOff>
    </xdr:from>
    <xdr:to>
      <xdr:col>0</xdr:col>
      <xdr:colOff>1459942</xdr:colOff>
      <xdr:row>550</xdr:row>
      <xdr:rowOff>494055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447211">
          <a:off x="649942" y="43377971"/>
          <a:ext cx="810000" cy="482849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558</xdr:row>
      <xdr:rowOff>0</xdr:rowOff>
    </xdr:from>
    <xdr:to>
      <xdr:col>0</xdr:col>
      <xdr:colOff>1594412</xdr:colOff>
      <xdr:row>558</xdr:row>
      <xdr:rowOff>482850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47400882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851648</xdr:colOff>
      <xdr:row>583</xdr:row>
      <xdr:rowOff>0</xdr:rowOff>
    </xdr:from>
    <xdr:to>
      <xdr:col>0</xdr:col>
      <xdr:colOff>1461817</xdr:colOff>
      <xdr:row>583</xdr:row>
      <xdr:rowOff>482850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48" y="60007500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851648</xdr:colOff>
      <xdr:row>584</xdr:row>
      <xdr:rowOff>0</xdr:rowOff>
    </xdr:from>
    <xdr:to>
      <xdr:col>0</xdr:col>
      <xdr:colOff>1461817</xdr:colOff>
      <xdr:row>584</xdr:row>
      <xdr:rowOff>482850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48" y="60511765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851648</xdr:colOff>
      <xdr:row>585</xdr:row>
      <xdr:rowOff>0</xdr:rowOff>
    </xdr:from>
    <xdr:to>
      <xdr:col>0</xdr:col>
      <xdr:colOff>1461817</xdr:colOff>
      <xdr:row>585</xdr:row>
      <xdr:rowOff>482850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48" y="61016029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851648</xdr:colOff>
      <xdr:row>586</xdr:row>
      <xdr:rowOff>0</xdr:rowOff>
    </xdr:from>
    <xdr:to>
      <xdr:col>0</xdr:col>
      <xdr:colOff>1461817</xdr:colOff>
      <xdr:row>586</xdr:row>
      <xdr:rowOff>482850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48" y="61520294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851648</xdr:colOff>
      <xdr:row>587</xdr:row>
      <xdr:rowOff>0</xdr:rowOff>
    </xdr:from>
    <xdr:to>
      <xdr:col>0</xdr:col>
      <xdr:colOff>1461817</xdr:colOff>
      <xdr:row>587</xdr:row>
      <xdr:rowOff>482850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48" y="62024559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851648</xdr:colOff>
      <xdr:row>588</xdr:row>
      <xdr:rowOff>0</xdr:rowOff>
    </xdr:from>
    <xdr:to>
      <xdr:col>0</xdr:col>
      <xdr:colOff>1461817</xdr:colOff>
      <xdr:row>588</xdr:row>
      <xdr:rowOff>482850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48" y="62528824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851648</xdr:colOff>
      <xdr:row>582</xdr:row>
      <xdr:rowOff>0</xdr:rowOff>
    </xdr:from>
    <xdr:to>
      <xdr:col>0</xdr:col>
      <xdr:colOff>1461817</xdr:colOff>
      <xdr:row>582</xdr:row>
      <xdr:rowOff>482850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48" y="59503235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874061</xdr:colOff>
      <xdr:row>559</xdr:row>
      <xdr:rowOff>0</xdr:rowOff>
    </xdr:from>
    <xdr:to>
      <xdr:col>0</xdr:col>
      <xdr:colOff>1484230</xdr:colOff>
      <xdr:row>559</xdr:row>
      <xdr:rowOff>482850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1" y="4790514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560</xdr:row>
      <xdr:rowOff>0</xdr:rowOff>
    </xdr:from>
    <xdr:to>
      <xdr:col>0</xdr:col>
      <xdr:colOff>1484229</xdr:colOff>
      <xdr:row>560</xdr:row>
      <xdr:rowOff>482850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48409412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561</xdr:row>
      <xdr:rowOff>0</xdr:rowOff>
    </xdr:from>
    <xdr:to>
      <xdr:col>0</xdr:col>
      <xdr:colOff>1484229</xdr:colOff>
      <xdr:row>561</xdr:row>
      <xdr:rowOff>482850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48913676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562</xdr:row>
      <xdr:rowOff>0</xdr:rowOff>
    </xdr:from>
    <xdr:to>
      <xdr:col>0</xdr:col>
      <xdr:colOff>1484229</xdr:colOff>
      <xdr:row>562</xdr:row>
      <xdr:rowOff>482850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49417941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563</xdr:row>
      <xdr:rowOff>0</xdr:rowOff>
    </xdr:from>
    <xdr:to>
      <xdr:col>0</xdr:col>
      <xdr:colOff>1484229</xdr:colOff>
      <xdr:row>563</xdr:row>
      <xdr:rowOff>482850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49922206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564</xdr:row>
      <xdr:rowOff>0</xdr:rowOff>
    </xdr:from>
    <xdr:to>
      <xdr:col>0</xdr:col>
      <xdr:colOff>1484229</xdr:colOff>
      <xdr:row>564</xdr:row>
      <xdr:rowOff>482850</xdr:rowOff>
    </xdr:to>
    <xdr:pic>
      <xdr:nvPicPr>
        <xdr:cNvPr id="437" name="Рисунок 436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0426471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565</xdr:row>
      <xdr:rowOff>0</xdr:rowOff>
    </xdr:from>
    <xdr:to>
      <xdr:col>0</xdr:col>
      <xdr:colOff>1484229</xdr:colOff>
      <xdr:row>565</xdr:row>
      <xdr:rowOff>482850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0930735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872378</xdr:colOff>
      <xdr:row>649</xdr:row>
      <xdr:rowOff>19050</xdr:rowOff>
    </xdr:from>
    <xdr:to>
      <xdr:col>0</xdr:col>
      <xdr:colOff>1482547</xdr:colOff>
      <xdr:row>649</xdr:row>
      <xdr:rowOff>501900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78" y="93308021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653</xdr:row>
      <xdr:rowOff>0</xdr:rowOff>
    </xdr:from>
    <xdr:to>
      <xdr:col>0</xdr:col>
      <xdr:colOff>1473022</xdr:colOff>
      <xdr:row>653</xdr:row>
      <xdr:rowOff>501900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95306029"/>
          <a:ext cx="610169" cy="501900"/>
        </a:xfrm>
        <a:prstGeom prst="rect">
          <a:avLst/>
        </a:prstGeom>
      </xdr:spPr>
    </xdr:pic>
    <xdr:clientData/>
  </xdr:twoCellAnchor>
  <xdr:twoCellAnchor>
    <xdr:from>
      <xdr:col>0</xdr:col>
      <xdr:colOff>872378</xdr:colOff>
      <xdr:row>657</xdr:row>
      <xdr:rowOff>19050</xdr:rowOff>
    </xdr:from>
    <xdr:to>
      <xdr:col>0</xdr:col>
      <xdr:colOff>1482547</xdr:colOff>
      <xdr:row>657</xdr:row>
      <xdr:rowOff>501900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378" y="9734213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661</xdr:row>
      <xdr:rowOff>0</xdr:rowOff>
    </xdr:from>
    <xdr:to>
      <xdr:col>0</xdr:col>
      <xdr:colOff>1473771</xdr:colOff>
      <xdr:row>661</xdr:row>
      <xdr:rowOff>501900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99340147"/>
          <a:ext cx="610918" cy="501900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665</xdr:row>
      <xdr:rowOff>19050</xdr:rowOff>
    </xdr:from>
    <xdr:to>
      <xdr:col>0</xdr:col>
      <xdr:colOff>1473022</xdr:colOff>
      <xdr:row>665</xdr:row>
      <xdr:rowOff>501900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101376256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977153</xdr:colOff>
      <xdr:row>629</xdr:row>
      <xdr:rowOff>501732</xdr:rowOff>
    </xdr:from>
    <xdr:to>
      <xdr:col>0</xdr:col>
      <xdr:colOff>1596278</xdr:colOff>
      <xdr:row>631</xdr:row>
      <xdr:rowOff>9526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0" t="8138" r="16016" b="17318"/>
        <a:stretch/>
      </xdr:blipFill>
      <xdr:spPr>
        <a:xfrm>
          <a:off x="977153" y="83705408"/>
          <a:ext cx="619125" cy="516324"/>
        </a:xfrm>
        <a:prstGeom prst="rect">
          <a:avLst/>
        </a:prstGeom>
      </xdr:spPr>
    </xdr:pic>
    <xdr:clientData/>
  </xdr:twoCellAnchor>
  <xdr:twoCellAnchor>
    <xdr:from>
      <xdr:col>0</xdr:col>
      <xdr:colOff>977153</xdr:colOff>
      <xdr:row>631</xdr:row>
      <xdr:rowOff>485775</xdr:rowOff>
    </xdr:from>
    <xdr:to>
      <xdr:col>0</xdr:col>
      <xdr:colOff>1596278</xdr:colOff>
      <xdr:row>632</xdr:row>
      <xdr:rowOff>498394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0" t="8138" r="16016" b="17318"/>
        <a:stretch/>
      </xdr:blipFill>
      <xdr:spPr>
        <a:xfrm>
          <a:off x="977153" y="84697981"/>
          <a:ext cx="619125" cy="516884"/>
        </a:xfrm>
        <a:prstGeom prst="rect">
          <a:avLst/>
        </a:prstGeom>
      </xdr:spPr>
    </xdr:pic>
    <xdr:clientData/>
  </xdr:twoCellAnchor>
  <xdr:twoCellAnchor>
    <xdr:from>
      <xdr:col>0</xdr:col>
      <xdr:colOff>977153</xdr:colOff>
      <xdr:row>633</xdr:row>
      <xdr:rowOff>0</xdr:rowOff>
    </xdr:from>
    <xdr:to>
      <xdr:col>0</xdr:col>
      <xdr:colOff>1596278</xdr:colOff>
      <xdr:row>634</xdr:row>
      <xdr:rowOff>12619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0" t="8138" r="16016" b="17318"/>
        <a:stretch/>
      </xdr:blipFill>
      <xdr:spPr>
        <a:xfrm>
          <a:off x="977153" y="85220735"/>
          <a:ext cx="619125" cy="516884"/>
        </a:xfrm>
        <a:prstGeom prst="rect">
          <a:avLst/>
        </a:prstGeom>
      </xdr:spPr>
    </xdr:pic>
    <xdr:clientData/>
  </xdr:twoCellAnchor>
  <xdr:twoCellAnchor>
    <xdr:from>
      <xdr:col>0</xdr:col>
      <xdr:colOff>986678</xdr:colOff>
      <xdr:row>634</xdr:row>
      <xdr:rowOff>0</xdr:rowOff>
    </xdr:from>
    <xdr:to>
      <xdr:col>0</xdr:col>
      <xdr:colOff>1605803</xdr:colOff>
      <xdr:row>635</xdr:row>
      <xdr:rowOff>12619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0" t="8138" r="16016" b="17318"/>
        <a:stretch/>
      </xdr:blipFill>
      <xdr:spPr>
        <a:xfrm>
          <a:off x="986678" y="85725000"/>
          <a:ext cx="619125" cy="516884"/>
        </a:xfrm>
        <a:prstGeom prst="rect">
          <a:avLst/>
        </a:prstGeom>
      </xdr:spPr>
    </xdr:pic>
    <xdr:clientData/>
  </xdr:twoCellAnchor>
  <xdr:twoCellAnchor>
    <xdr:from>
      <xdr:col>0</xdr:col>
      <xdr:colOff>1024778</xdr:colOff>
      <xdr:row>634</xdr:row>
      <xdr:rowOff>495300</xdr:rowOff>
    </xdr:from>
    <xdr:to>
      <xdr:col>0</xdr:col>
      <xdr:colOff>1643903</xdr:colOff>
      <xdr:row>636</xdr:row>
      <xdr:rowOff>3094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0" t="8138" r="16016" b="17318"/>
        <a:stretch/>
      </xdr:blipFill>
      <xdr:spPr>
        <a:xfrm>
          <a:off x="1024778" y="86220300"/>
          <a:ext cx="619125" cy="516323"/>
        </a:xfrm>
        <a:prstGeom prst="rect">
          <a:avLst/>
        </a:prstGeom>
      </xdr:spPr>
    </xdr:pic>
    <xdr:clientData/>
  </xdr:twoCellAnchor>
  <xdr:twoCellAnchor>
    <xdr:from>
      <xdr:col>0</xdr:col>
      <xdr:colOff>1015253</xdr:colOff>
      <xdr:row>636</xdr:row>
      <xdr:rowOff>0</xdr:rowOff>
    </xdr:from>
    <xdr:to>
      <xdr:col>0</xdr:col>
      <xdr:colOff>1634378</xdr:colOff>
      <xdr:row>637</xdr:row>
      <xdr:rowOff>12619</xdr:rowOff>
    </xdr:to>
    <xdr:pic>
      <xdr:nvPicPr>
        <xdr:cNvPr id="449" name="Рисунок 448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0" t="8138" r="16016" b="17318"/>
        <a:stretch/>
      </xdr:blipFill>
      <xdr:spPr>
        <a:xfrm>
          <a:off x="1015253" y="86733529"/>
          <a:ext cx="619125" cy="516884"/>
        </a:xfrm>
        <a:prstGeom prst="rect">
          <a:avLst/>
        </a:prstGeom>
      </xdr:spPr>
    </xdr:pic>
    <xdr:clientData/>
  </xdr:twoCellAnchor>
  <xdr:twoCellAnchor>
    <xdr:from>
      <xdr:col>0</xdr:col>
      <xdr:colOff>920002</xdr:colOff>
      <xdr:row>637</xdr:row>
      <xdr:rowOff>9525</xdr:rowOff>
    </xdr:from>
    <xdr:to>
      <xdr:col>0</xdr:col>
      <xdr:colOff>1684501</xdr:colOff>
      <xdr:row>637</xdr:row>
      <xdr:rowOff>466725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43" t="7861" r="2040" b="18368"/>
        <a:stretch/>
      </xdr:blipFill>
      <xdr:spPr>
        <a:xfrm>
          <a:off x="920002" y="87247319"/>
          <a:ext cx="764499" cy="457200"/>
        </a:xfrm>
        <a:prstGeom prst="rect">
          <a:avLst/>
        </a:prstGeom>
      </xdr:spPr>
    </xdr:pic>
    <xdr:clientData/>
  </xdr:twoCellAnchor>
  <xdr:twoCellAnchor>
    <xdr:from>
      <xdr:col>0</xdr:col>
      <xdr:colOff>986678</xdr:colOff>
      <xdr:row>637</xdr:row>
      <xdr:rowOff>485775</xdr:rowOff>
    </xdr:from>
    <xdr:to>
      <xdr:col>0</xdr:col>
      <xdr:colOff>1682003</xdr:colOff>
      <xdr:row>639</xdr:row>
      <xdr:rowOff>25723</xdr:rowOff>
    </xdr:to>
    <xdr:pic>
      <xdr:nvPicPr>
        <xdr:cNvPr id="451" name="Рисунок 450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9" r="8447" b="14063"/>
        <a:stretch/>
      </xdr:blipFill>
      <xdr:spPr>
        <a:xfrm>
          <a:off x="986678" y="87723569"/>
          <a:ext cx="695325" cy="548478"/>
        </a:xfrm>
        <a:prstGeom prst="rect">
          <a:avLst/>
        </a:prstGeom>
      </xdr:spPr>
    </xdr:pic>
    <xdr:clientData/>
  </xdr:twoCellAnchor>
  <xdr:twoCellAnchor>
    <xdr:from>
      <xdr:col>0</xdr:col>
      <xdr:colOff>967628</xdr:colOff>
      <xdr:row>638</xdr:row>
      <xdr:rowOff>485775</xdr:rowOff>
    </xdr:from>
    <xdr:to>
      <xdr:col>0</xdr:col>
      <xdr:colOff>1662953</xdr:colOff>
      <xdr:row>640</xdr:row>
      <xdr:rowOff>25723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9" r="8447" b="14063"/>
        <a:stretch/>
      </xdr:blipFill>
      <xdr:spPr>
        <a:xfrm>
          <a:off x="967628" y="88227834"/>
          <a:ext cx="695325" cy="548477"/>
        </a:xfrm>
        <a:prstGeom prst="rect">
          <a:avLst/>
        </a:prstGeom>
      </xdr:spPr>
    </xdr:pic>
    <xdr:clientData/>
  </xdr:twoCellAnchor>
  <xdr:twoCellAnchor>
    <xdr:from>
      <xdr:col>0</xdr:col>
      <xdr:colOff>986678</xdr:colOff>
      <xdr:row>639</xdr:row>
      <xdr:rowOff>495300</xdr:rowOff>
    </xdr:from>
    <xdr:to>
      <xdr:col>0</xdr:col>
      <xdr:colOff>1682003</xdr:colOff>
      <xdr:row>641</xdr:row>
      <xdr:rowOff>35248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9" r="8447" b="14063"/>
        <a:stretch/>
      </xdr:blipFill>
      <xdr:spPr>
        <a:xfrm>
          <a:off x="986678" y="88741624"/>
          <a:ext cx="695325" cy="548477"/>
        </a:xfrm>
        <a:prstGeom prst="rect">
          <a:avLst/>
        </a:prstGeom>
      </xdr:spPr>
    </xdr:pic>
    <xdr:clientData/>
  </xdr:twoCellAnchor>
  <xdr:twoCellAnchor>
    <xdr:from>
      <xdr:col>0</xdr:col>
      <xdr:colOff>986678</xdr:colOff>
      <xdr:row>640</xdr:row>
      <xdr:rowOff>485775</xdr:rowOff>
    </xdr:from>
    <xdr:to>
      <xdr:col>0</xdr:col>
      <xdr:colOff>1682003</xdr:colOff>
      <xdr:row>642</xdr:row>
      <xdr:rowOff>25723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9" r="8447" b="14063"/>
        <a:stretch/>
      </xdr:blipFill>
      <xdr:spPr>
        <a:xfrm>
          <a:off x="986678" y="89236363"/>
          <a:ext cx="695325" cy="548478"/>
        </a:xfrm>
        <a:prstGeom prst="rect">
          <a:avLst/>
        </a:prstGeom>
      </xdr:spPr>
    </xdr:pic>
    <xdr:clientData/>
  </xdr:twoCellAnchor>
  <xdr:twoCellAnchor>
    <xdr:from>
      <xdr:col>0</xdr:col>
      <xdr:colOff>996203</xdr:colOff>
      <xdr:row>642</xdr:row>
      <xdr:rowOff>0</xdr:rowOff>
    </xdr:from>
    <xdr:to>
      <xdr:col>0</xdr:col>
      <xdr:colOff>1691528</xdr:colOff>
      <xdr:row>643</xdr:row>
      <xdr:rowOff>44773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xmlns="" id="{00000000-0008-0000-0000-0000C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9" r="8447" b="14063"/>
        <a:stretch/>
      </xdr:blipFill>
      <xdr:spPr>
        <a:xfrm>
          <a:off x="996203" y="89759118"/>
          <a:ext cx="695325" cy="549037"/>
        </a:xfrm>
        <a:prstGeom prst="rect">
          <a:avLst/>
        </a:prstGeom>
      </xdr:spPr>
    </xdr:pic>
    <xdr:clientData/>
  </xdr:twoCellAnchor>
  <xdr:twoCellAnchor>
    <xdr:from>
      <xdr:col>0</xdr:col>
      <xdr:colOff>986678</xdr:colOff>
      <xdr:row>643</xdr:row>
      <xdr:rowOff>0</xdr:rowOff>
    </xdr:from>
    <xdr:to>
      <xdr:col>0</xdr:col>
      <xdr:colOff>1682003</xdr:colOff>
      <xdr:row>644</xdr:row>
      <xdr:rowOff>44773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xmlns="" id="{00000000-0008-0000-0000-0000C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9" r="8447" b="14063"/>
        <a:stretch/>
      </xdr:blipFill>
      <xdr:spPr>
        <a:xfrm>
          <a:off x="986678" y="90263382"/>
          <a:ext cx="695325" cy="549038"/>
        </a:xfrm>
        <a:prstGeom prst="rect">
          <a:avLst/>
        </a:prstGeom>
      </xdr:spPr>
    </xdr:pic>
    <xdr:clientData/>
  </xdr:twoCellAnchor>
  <xdr:twoCellAnchor>
    <xdr:from>
      <xdr:col>0</xdr:col>
      <xdr:colOff>967628</xdr:colOff>
      <xdr:row>643</xdr:row>
      <xdr:rowOff>485775</xdr:rowOff>
    </xdr:from>
    <xdr:to>
      <xdr:col>0</xdr:col>
      <xdr:colOff>1662953</xdr:colOff>
      <xdr:row>645</xdr:row>
      <xdr:rowOff>25723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xmlns="" id="{00000000-0008-0000-0000-0000C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9" r="8447" b="14063"/>
        <a:stretch/>
      </xdr:blipFill>
      <xdr:spPr>
        <a:xfrm>
          <a:off x="967628" y="90749157"/>
          <a:ext cx="695325" cy="548478"/>
        </a:xfrm>
        <a:prstGeom prst="rect">
          <a:avLst/>
        </a:prstGeom>
      </xdr:spPr>
    </xdr:pic>
    <xdr:clientData/>
  </xdr:twoCellAnchor>
  <xdr:twoCellAnchor>
    <xdr:from>
      <xdr:col>0</xdr:col>
      <xdr:colOff>900954</xdr:colOff>
      <xdr:row>645</xdr:row>
      <xdr:rowOff>19050</xdr:rowOff>
    </xdr:from>
    <xdr:to>
      <xdr:col>0</xdr:col>
      <xdr:colOff>1648746</xdr:colOff>
      <xdr:row>645</xdr:row>
      <xdr:rowOff>476249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xmlns="" id="{00000000-0008-0000-0000-0000C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" t="5859" r="2344" b="17318"/>
        <a:stretch/>
      </xdr:blipFill>
      <xdr:spPr>
        <a:xfrm>
          <a:off x="900954" y="91290962"/>
          <a:ext cx="747792" cy="457199"/>
        </a:xfrm>
        <a:prstGeom prst="rect">
          <a:avLst/>
        </a:prstGeom>
      </xdr:spPr>
    </xdr:pic>
    <xdr:clientData/>
  </xdr:twoCellAnchor>
  <xdr:twoCellAnchor>
    <xdr:from>
      <xdr:col>0</xdr:col>
      <xdr:colOff>1015253</xdr:colOff>
      <xdr:row>630</xdr:row>
      <xdr:rowOff>485775</xdr:rowOff>
    </xdr:from>
    <xdr:to>
      <xdr:col>0</xdr:col>
      <xdr:colOff>1634378</xdr:colOff>
      <xdr:row>631</xdr:row>
      <xdr:rowOff>498394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xmlns="" id="{00000000-0008-0000-0000-0000C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0" t="8138" r="16016" b="17318"/>
        <a:stretch/>
      </xdr:blipFill>
      <xdr:spPr>
        <a:xfrm>
          <a:off x="1015253" y="84193716"/>
          <a:ext cx="619125" cy="516884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470</xdr:row>
      <xdr:rowOff>495461</xdr:rowOff>
    </xdr:from>
    <xdr:to>
      <xdr:col>0</xdr:col>
      <xdr:colOff>1416994</xdr:colOff>
      <xdr:row>471</xdr:row>
      <xdr:rowOff>483571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xmlns="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15623402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834039</xdr:colOff>
      <xdr:row>465</xdr:row>
      <xdr:rowOff>495460</xdr:rowOff>
    </xdr:from>
    <xdr:to>
      <xdr:col>0</xdr:col>
      <xdr:colOff>1444209</xdr:colOff>
      <xdr:row>466</xdr:row>
      <xdr:rowOff>483571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xmlns="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039" y="13102078"/>
          <a:ext cx="610170" cy="492375"/>
        </a:xfrm>
        <a:prstGeom prst="rect">
          <a:avLst/>
        </a:prstGeom>
      </xdr:spPr>
    </xdr:pic>
    <xdr:clientData/>
  </xdr:twoCellAnchor>
  <xdr:twoCellAnchor>
    <xdr:from>
      <xdr:col>0</xdr:col>
      <xdr:colOff>652431</xdr:colOff>
      <xdr:row>528</xdr:row>
      <xdr:rowOff>481230</xdr:rowOff>
    </xdr:from>
    <xdr:to>
      <xdr:col>0</xdr:col>
      <xdr:colOff>1344706</xdr:colOff>
      <xdr:row>529</xdr:row>
      <xdr:rowOff>432671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00000000-0008-0000-0000-0000D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07" r="12380" b="11748"/>
        <a:stretch/>
      </xdr:blipFill>
      <xdr:spPr>
        <a:xfrm>
          <a:off x="652431" y="19318318"/>
          <a:ext cx="692275" cy="455706"/>
        </a:xfrm>
        <a:prstGeom prst="rect">
          <a:avLst/>
        </a:prstGeom>
      </xdr:spPr>
    </xdr:pic>
    <xdr:clientData/>
  </xdr:twoCellAnchor>
  <xdr:twoCellAnchor>
    <xdr:from>
      <xdr:col>0</xdr:col>
      <xdr:colOff>675466</xdr:colOff>
      <xdr:row>541</xdr:row>
      <xdr:rowOff>480193</xdr:rowOff>
    </xdr:from>
    <xdr:to>
      <xdr:col>0</xdr:col>
      <xdr:colOff>1512794</xdr:colOff>
      <xdr:row>543</xdr:row>
      <xdr:rowOff>29883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xmlns="" id="{00000000-0008-0000-0000-0000D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0" t="3858" r="12652" b="10301"/>
        <a:stretch/>
      </xdr:blipFill>
      <xdr:spPr>
        <a:xfrm>
          <a:off x="675466" y="25872722"/>
          <a:ext cx="837328" cy="55822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472</xdr:row>
      <xdr:rowOff>481853</xdr:rowOff>
    </xdr:from>
    <xdr:to>
      <xdr:col>0</xdr:col>
      <xdr:colOff>1416993</xdr:colOff>
      <xdr:row>473</xdr:row>
      <xdr:rowOff>469964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xmlns="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16618324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473</xdr:row>
      <xdr:rowOff>481854</xdr:rowOff>
    </xdr:from>
    <xdr:to>
      <xdr:col>0</xdr:col>
      <xdr:colOff>1416993</xdr:colOff>
      <xdr:row>474</xdr:row>
      <xdr:rowOff>469964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xmlns="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17122589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638736</xdr:colOff>
      <xdr:row>544</xdr:row>
      <xdr:rowOff>459925</xdr:rowOff>
    </xdr:from>
    <xdr:to>
      <xdr:col>0</xdr:col>
      <xdr:colOff>1434354</xdr:colOff>
      <xdr:row>546</xdr:row>
      <xdr:rowOff>80999</xdr:rowOff>
    </xdr:to>
    <xdr:pic>
      <xdr:nvPicPr>
        <xdr:cNvPr id="469" name="Рисунок 468">
          <a:extLst>
            <a:ext uri="{FF2B5EF4-FFF2-40B4-BE49-F238E27FC236}">
              <a16:creationId xmlns:a16="http://schemas.microsoft.com/office/drawing/2014/main" xmlns="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6" y="27365249"/>
          <a:ext cx="795618" cy="629603"/>
        </a:xfrm>
        <a:prstGeom prst="rect">
          <a:avLst/>
        </a:prstGeom>
      </xdr:spPr>
    </xdr:pic>
    <xdr:clientData/>
  </xdr:twoCellAnchor>
  <xdr:twoCellAnchor>
    <xdr:from>
      <xdr:col>0</xdr:col>
      <xdr:colOff>649941</xdr:colOff>
      <xdr:row>545</xdr:row>
      <xdr:rowOff>504264</xdr:rowOff>
    </xdr:from>
    <xdr:to>
      <xdr:col>0</xdr:col>
      <xdr:colOff>1253190</xdr:colOff>
      <xdr:row>546</xdr:row>
      <xdr:rowOff>402165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xmlns="" id="{00000000-0008-0000-0000-0000D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20" t="3858" r="12652" b="10301"/>
        <a:stretch/>
      </xdr:blipFill>
      <xdr:spPr>
        <a:xfrm>
          <a:off x="649941" y="41349705"/>
          <a:ext cx="603249" cy="402166"/>
        </a:xfrm>
        <a:prstGeom prst="rect">
          <a:avLst/>
        </a:prstGeom>
      </xdr:spPr>
    </xdr:pic>
    <xdr:clientData/>
  </xdr:twoCellAnchor>
  <xdr:twoCellAnchor>
    <xdr:from>
      <xdr:col>0</xdr:col>
      <xdr:colOff>661148</xdr:colOff>
      <xdr:row>547</xdr:row>
      <xdr:rowOff>0</xdr:rowOff>
    </xdr:from>
    <xdr:to>
      <xdr:col>0</xdr:col>
      <xdr:colOff>1271317</xdr:colOff>
      <xdr:row>547</xdr:row>
      <xdr:rowOff>482850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148" y="41853971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549</xdr:row>
      <xdr:rowOff>44822</xdr:rowOff>
    </xdr:from>
    <xdr:to>
      <xdr:col>0</xdr:col>
      <xdr:colOff>1416993</xdr:colOff>
      <xdr:row>550</xdr:row>
      <xdr:rowOff>23408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xmlns="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42907322"/>
          <a:ext cx="610169" cy="482851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547</xdr:row>
      <xdr:rowOff>470648</xdr:rowOff>
    </xdr:from>
    <xdr:to>
      <xdr:col>0</xdr:col>
      <xdr:colOff>1360963</xdr:colOff>
      <xdr:row>548</xdr:row>
      <xdr:rowOff>449233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42324619"/>
          <a:ext cx="610169" cy="482849"/>
        </a:xfrm>
        <a:prstGeom prst="rect">
          <a:avLst/>
        </a:prstGeom>
      </xdr:spPr>
    </xdr:pic>
    <xdr:clientData/>
  </xdr:twoCellAnchor>
  <xdr:twoCellAnchor>
    <xdr:from>
      <xdr:col>0</xdr:col>
      <xdr:colOff>818031</xdr:colOff>
      <xdr:row>668</xdr:row>
      <xdr:rowOff>33618</xdr:rowOff>
    </xdr:from>
    <xdr:to>
      <xdr:col>0</xdr:col>
      <xdr:colOff>1407610</xdr:colOff>
      <xdr:row>668</xdr:row>
      <xdr:rowOff>481854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818031" y="102903618"/>
          <a:ext cx="589579" cy="448236"/>
        </a:xfrm>
        <a:prstGeom prst="rect">
          <a:avLst/>
        </a:prstGeom>
      </xdr:spPr>
    </xdr:pic>
    <xdr:clientData/>
  </xdr:twoCellAnchor>
  <xdr:twoCellAnchor>
    <xdr:from>
      <xdr:col>0</xdr:col>
      <xdr:colOff>762002</xdr:colOff>
      <xdr:row>669</xdr:row>
      <xdr:rowOff>33617</xdr:rowOff>
    </xdr:from>
    <xdr:to>
      <xdr:col>0</xdr:col>
      <xdr:colOff>1400735</xdr:colOff>
      <xdr:row>669</xdr:row>
      <xdr:rowOff>458697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xmlns="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762002" y="103407882"/>
          <a:ext cx="638733" cy="425080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669</xdr:row>
      <xdr:rowOff>493058</xdr:rowOff>
    </xdr:from>
    <xdr:to>
      <xdr:col>0</xdr:col>
      <xdr:colOff>1400736</xdr:colOff>
      <xdr:row>670</xdr:row>
      <xdr:rowOff>453714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73206" y="103867323"/>
          <a:ext cx="627530" cy="464920"/>
        </a:xfrm>
        <a:prstGeom prst="rect">
          <a:avLst/>
        </a:prstGeom>
      </xdr:spPr>
    </xdr:pic>
    <xdr:clientData/>
  </xdr:twoCellAnchor>
  <xdr:twoCellAnchor>
    <xdr:from>
      <xdr:col>0</xdr:col>
      <xdr:colOff>802342</xdr:colOff>
      <xdr:row>671</xdr:row>
      <xdr:rowOff>17930</xdr:rowOff>
    </xdr:from>
    <xdr:to>
      <xdr:col>0</xdr:col>
      <xdr:colOff>1391921</xdr:colOff>
      <xdr:row>671</xdr:row>
      <xdr:rowOff>466166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xmlns="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802342" y="104400724"/>
          <a:ext cx="589579" cy="448236"/>
        </a:xfrm>
        <a:prstGeom prst="rect">
          <a:avLst/>
        </a:prstGeom>
      </xdr:spPr>
    </xdr:pic>
    <xdr:clientData/>
  </xdr:twoCellAnchor>
  <xdr:twoCellAnchor>
    <xdr:from>
      <xdr:col>0</xdr:col>
      <xdr:colOff>757520</xdr:colOff>
      <xdr:row>672</xdr:row>
      <xdr:rowOff>40341</xdr:rowOff>
    </xdr:from>
    <xdr:to>
      <xdr:col>0</xdr:col>
      <xdr:colOff>1396253</xdr:colOff>
      <xdr:row>672</xdr:row>
      <xdr:rowOff>465421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757520" y="104927400"/>
          <a:ext cx="638733" cy="425080"/>
        </a:xfrm>
        <a:prstGeom prst="rect">
          <a:avLst/>
        </a:prstGeom>
      </xdr:spPr>
    </xdr:pic>
    <xdr:clientData/>
  </xdr:twoCellAnchor>
  <xdr:twoCellAnchor>
    <xdr:from>
      <xdr:col>0</xdr:col>
      <xdr:colOff>802341</xdr:colOff>
      <xdr:row>673</xdr:row>
      <xdr:rowOff>29135</xdr:rowOff>
    </xdr:from>
    <xdr:to>
      <xdr:col>0</xdr:col>
      <xdr:colOff>1429871</xdr:colOff>
      <xdr:row>673</xdr:row>
      <xdr:rowOff>494054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xmlns="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802341" y="105420459"/>
          <a:ext cx="627530" cy="464919"/>
        </a:xfrm>
        <a:prstGeom prst="rect">
          <a:avLst/>
        </a:prstGeom>
      </xdr:spPr>
    </xdr:pic>
    <xdr:clientData/>
  </xdr:twoCellAnchor>
  <xdr:twoCellAnchor>
    <xdr:from>
      <xdr:col>0</xdr:col>
      <xdr:colOff>802343</xdr:colOff>
      <xdr:row>674</xdr:row>
      <xdr:rowOff>40342</xdr:rowOff>
    </xdr:from>
    <xdr:to>
      <xdr:col>0</xdr:col>
      <xdr:colOff>1391922</xdr:colOff>
      <xdr:row>674</xdr:row>
      <xdr:rowOff>488578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802343" y="105935930"/>
          <a:ext cx="589579" cy="448236"/>
        </a:xfrm>
        <a:prstGeom prst="rect">
          <a:avLst/>
        </a:prstGeom>
      </xdr:spPr>
    </xdr:pic>
    <xdr:clientData/>
  </xdr:twoCellAnchor>
  <xdr:twoCellAnchor>
    <xdr:from>
      <xdr:col>0</xdr:col>
      <xdr:colOff>779931</xdr:colOff>
      <xdr:row>675</xdr:row>
      <xdr:rowOff>40340</xdr:rowOff>
    </xdr:from>
    <xdr:to>
      <xdr:col>0</xdr:col>
      <xdr:colOff>1418664</xdr:colOff>
      <xdr:row>675</xdr:row>
      <xdr:rowOff>465420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xmlns="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779931" y="106440193"/>
          <a:ext cx="638733" cy="425080"/>
        </a:xfrm>
        <a:prstGeom prst="rect">
          <a:avLst/>
        </a:prstGeom>
      </xdr:spPr>
    </xdr:pic>
    <xdr:clientData/>
  </xdr:twoCellAnchor>
  <xdr:twoCellAnchor>
    <xdr:from>
      <xdr:col>0</xdr:col>
      <xdr:colOff>779929</xdr:colOff>
      <xdr:row>676</xdr:row>
      <xdr:rowOff>40341</xdr:rowOff>
    </xdr:from>
    <xdr:to>
      <xdr:col>0</xdr:col>
      <xdr:colOff>1407459</xdr:colOff>
      <xdr:row>677</xdr:row>
      <xdr:rowOff>996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779929" y="106944459"/>
          <a:ext cx="627530" cy="464919"/>
        </a:xfrm>
        <a:prstGeom prst="rect">
          <a:avLst/>
        </a:prstGeom>
      </xdr:spPr>
    </xdr:pic>
    <xdr:clientData/>
  </xdr:twoCellAnchor>
  <xdr:twoCellAnchor>
    <xdr:from>
      <xdr:col>0</xdr:col>
      <xdr:colOff>795618</xdr:colOff>
      <xdr:row>677</xdr:row>
      <xdr:rowOff>11206</xdr:rowOff>
    </xdr:from>
    <xdr:to>
      <xdr:col>0</xdr:col>
      <xdr:colOff>1411942</xdr:colOff>
      <xdr:row>677</xdr:row>
      <xdr:rowOff>479383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xmlns="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795618" y="107419588"/>
          <a:ext cx="616324" cy="468177"/>
        </a:xfrm>
        <a:prstGeom prst="rect">
          <a:avLst/>
        </a:prstGeom>
      </xdr:spPr>
    </xdr:pic>
    <xdr:clientData/>
  </xdr:twoCellAnchor>
  <xdr:twoCellAnchor>
    <xdr:from>
      <xdr:col>0</xdr:col>
      <xdr:colOff>757518</xdr:colOff>
      <xdr:row>678</xdr:row>
      <xdr:rowOff>17929</xdr:rowOff>
    </xdr:from>
    <xdr:to>
      <xdr:col>0</xdr:col>
      <xdr:colOff>1373842</xdr:colOff>
      <xdr:row>678</xdr:row>
      <xdr:rowOff>486106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757518" y="107930576"/>
          <a:ext cx="616324" cy="468177"/>
        </a:xfrm>
        <a:prstGeom prst="rect">
          <a:avLst/>
        </a:prstGeom>
      </xdr:spPr>
    </xdr:pic>
    <xdr:clientData/>
  </xdr:twoCellAnchor>
  <xdr:twoCellAnchor>
    <xdr:from>
      <xdr:col>0</xdr:col>
      <xdr:colOff>786653</xdr:colOff>
      <xdr:row>683</xdr:row>
      <xdr:rowOff>2242</xdr:rowOff>
    </xdr:from>
    <xdr:to>
      <xdr:col>0</xdr:col>
      <xdr:colOff>1402977</xdr:colOff>
      <xdr:row>683</xdr:row>
      <xdr:rowOff>470419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xmlns="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786653" y="110436213"/>
          <a:ext cx="616324" cy="468177"/>
        </a:xfrm>
        <a:prstGeom prst="rect">
          <a:avLst/>
        </a:prstGeom>
      </xdr:spPr>
    </xdr:pic>
    <xdr:clientData/>
  </xdr:twoCellAnchor>
  <xdr:twoCellAnchor>
    <xdr:from>
      <xdr:col>0</xdr:col>
      <xdr:colOff>770965</xdr:colOff>
      <xdr:row>684</xdr:row>
      <xdr:rowOff>20171</xdr:rowOff>
    </xdr:from>
    <xdr:to>
      <xdr:col>0</xdr:col>
      <xdr:colOff>1387289</xdr:colOff>
      <xdr:row>684</xdr:row>
      <xdr:rowOff>488348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770965" y="110958406"/>
          <a:ext cx="616324" cy="468177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679</xdr:row>
      <xdr:rowOff>20477</xdr:rowOff>
    </xdr:from>
    <xdr:to>
      <xdr:col>0</xdr:col>
      <xdr:colOff>1400735</xdr:colOff>
      <xdr:row>679</xdr:row>
      <xdr:rowOff>457761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xmlns="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750794" y="108437389"/>
          <a:ext cx="649941" cy="437284"/>
        </a:xfrm>
        <a:prstGeom prst="rect">
          <a:avLst/>
        </a:prstGeom>
      </xdr:spPr>
    </xdr:pic>
    <xdr:clientData/>
  </xdr:twoCellAnchor>
  <xdr:twoCellAnchor>
    <xdr:from>
      <xdr:col>0</xdr:col>
      <xdr:colOff>735106</xdr:colOff>
      <xdr:row>680</xdr:row>
      <xdr:rowOff>72025</xdr:rowOff>
    </xdr:from>
    <xdr:to>
      <xdr:col>0</xdr:col>
      <xdr:colOff>1385047</xdr:colOff>
      <xdr:row>681</xdr:row>
      <xdr:rowOff>5044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735106" y="108993201"/>
          <a:ext cx="649941" cy="437284"/>
        </a:xfrm>
        <a:prstGeom prst="rect">
          <a:avLst/>
        </a:prstGeom>
      </xdr:spPr>
    </xdr:pic>
    <xdr:clientData/>
  </xdr:twoCellAnchor>
  <xdr:twoCellAnchor>
    <xdr:from>
      <xdr:col>0</xdr:col>
      <xdr:colOff>764241</xdr:colOff>
      <xdr:row>685</xdr:row>
      <xdr:rowOff>45130</xdr:rowOff>
    </xdr:from>
    <xdr:to>
      <xdr:col>0</xdr:col>
      <xdr:colOff>1414182</xdr:colOff>
      <xdr:row>685</xdr:row>
      <xdr:rowOff>482414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xmlns="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764241" y="111487630"/>
          <a:ext cx="649941" cy="437284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681</xdr:row>
      <xdr:rowOff>33617</xdr:rowOff>
    </xdr:from>
    <xdr:to>
      <xdr:col>0</xdr:col>
      <xdr:colOff>1406386</xdr:colOff>
      <xdr:row>681</xdr:row>
      <xdr:rowOff>493059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773206" y="109459058"/>
          <a:ext cx="633180" cy="459442"/>
        </a:xfrm>
        <a:prstGeom prst="rect">
          <a:avLst/>
        </a:prstGeom>
      </xdr:spPr>
    </xdr:pic>
    <xdr:clientData/>
  </xdr:twoCellAnchor>
  <xdr:twoCellAnchor>
    <xdr:from>
      <xdr:col>0</xdr:col>
      <xdr:colOff>791135</xdr:colOff>
      <xdr:row>681</xdr:row>
      <xdr:rowOff>499781</xdr:rowOff>
    </xdr:from>
    <xdr:to>
      <xdr:col>0</xdr:col>
      <xdr:colOff>1424315</xdr:colOff>
      <xdr:row>682</xdr:row>
      <xdr:rowOff>454958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xmlns="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791135" y="109925222"/>
          <a:ext cx="633180" cy="459442"/>
        </a:xfrm>
        <a:prstGeom prst="rect">
          <a:avLst/>
        </a:prstGeom>
      </xdr:spPr>
    </xdr:pic>
    <xdr:clientData/>
  </xdr:twoCellAnchor>
  <xdr:twoCellAnchor>
    <xdr:from>
      <xdr:col>0</xdr:col>
      <xdr:colOff>753035</xdr:colOff>
      <xdr:row>687</xdr:row>
      <xdr:rowOff>24652</xdr:rowOff>
    </xdr:from>
    <xdr:to>
      <xdr:col>0</xdr:col>
      <xdr:colOff>1386215</xdr:colOff>
      <xdr:row>687</xdr:row>
      <xdr:rowOff>484094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753035" y="112475681"/>
          <a:ext cx="633180" cy="459442"/>
        </a:xfrm>
        <a:prstGeom prst="rect">
          <a:avLst/>
        </a:prstGeom>
      </xdr:spPr>
    </xdr:pic>
    <xdr:clientData/>
  </xdr:twoCellAnchor>
  <xdr:twoCellAnchor>
    <xdr:from>
      <xdr:col>0</xdr:col>
      <xdr:colOff>737347</xdr:colOff>
      <xdr:row>688</xdr:row>
      <xdr:rowOff>20169</xdr:rowOff>
    </xdr:from>
    <xdr:to>
      <xdr:col>0</xdr:col>
      <xdr:colOff>1370527</xdr:colOff>
      <xdr:row>688</xdr:row>
      <xdr:rowOff>479611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xmlns="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737347" y="112975463"/>
          <a:ext cx="633180" cy="459442"/>
        </a:xfrm>
        <a:prstGeom prst="rect">
          <a:avLst/>
        </a:prstGeom>
      </xdr:spPr>
    </xdr:pic>
    <xdr:clientData/>
  </xdr:twoCellAnchor>
  <xdr:twoCellAnchor>
    <xdr:from>
      <xdr:col>0</xdr:col>
      <xdr:colOff>737346</xdr:colOff>
      <xdr:row>686</xdr:row>
      <xdr:rowOff>18236</xdr:rowOff>
    </xdr:from>
    <xdr:to>
      <xdr:col>0</xdr:col>
      <xdr:colOff>1387287</xdr:colOff>
      <xdr:row>686</xdr:row>
      <xdr:rowOff>470646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737346" y="111965001"/>
          <a:ext cx="649941" cy="452410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998</xdr:row>
      <xdr:rowOff>58465</xdr:rowOff>
    </xdr:from>
    <xdr:to>
      <xdr:col>0</xdr:col>
      <xdr:colOff>1605206</xdr:colOff>
      <xdr:row>999</xdr:row>
      <xdr:rowOff>22200</xdr:rowOff>
    </xdr:to>
    <xdr:pic>
      <xdr:nvPicPr>
        <xdr:cNvPr id="781" name="Рисунок 780">
          <a:extLst>
            <a:ext uri="{FF2B5EF4-FFF2-40B4-BE49-F238E27FC236}">
              <a16:creationId xmlns:a16="http://schemas.microsoft.com/office/drawing/2014/main" xmlns="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19569200"/>
          <a:ext cx="832000" cy="468000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1000</xdr:row>
      <xdr:rowOff>53495</xdr:rowOff>
    </xdr:from>
    <xdr:to>
      <xdr:col>0</xdr:col>
      <xdr:colOff>1605206</xdr:colOff>
      <xdr:row>1001</xdr:row>
      <xdr:rowOff>17231</xdr:rowOff>
    </xdr:to>
    <xdr:pic>
      <xdr:nvPicPr>
        <xdr:cNvPr id="782" name="Рисунок 781">
          <a:extLst>
            <a:ext uri="{FF2B5EF4-FFF2-40B4-BE49-F238E27FC236}">
              <a16:creationId xmlns:a16="http://schemas.microsoft.com/office/drawing/2014/main" xmlns="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20572760"/>
          <a:ext cx="832000" cy="468000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999</xdr:row>
      <xdr:rowOff>53495</xdr:rowOff>
    </xdr:from>
    <xdr:to>
      <xdr:col>0</xdr:col>
      <xdr:colOff>1605206</xdr:colOff>
      <xdr:row>1000</xdr:row>
      <xdr:rowOff>17230</xdr:rowOff>
    </xdr:to>
    <xdr:pic>
      <xdr:nvPicPr>
        <xdr:cNvPr id="783" name="Рисунок 782">
          <a:extLst>
            <a:ext uri="{FF2B5EF4-FFF2-40B4-BE49-F238E27FC236}">
              <a16:creationId xmlns:a16="http://schemas.microsoft.com/office/drawing/2014/main" xmlns="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20068495"/>
          <a:ext cx="832000" cy="468000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1006</xdr:row>
      <xdr:rowOff>56029</xdr:rowOff>
    </xdr:from>
    <xdr:to>
      <xdr:col>0</xdr:col>
      <xdr:colOff>1589990</xdr:colOff>
      <xdr:row>1007</xdr:row>
      <xdr:rowOff>11205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xmlns="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23600882"/>
          <a:ext cx="816784" cy="459441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1007</xdr:row>
      <xdr:rowOff>56030</xdr:rowOff>
    </xdr:from>
    <xdr:to>
      <xdr:col>0</xdr:col>
      <xdr:colOff>1589990</xdr:colOff>
      <xdr:row>1008</xdr:row>
      <xdr:rowOff>11207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xmlns="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24105148"/>
          <a:ext cx="816784" cy="459441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1008</xdr:row>
      <xdr:rowOff>56030</xdr:rowOff>
    </xdr:from>
    <xdr:to>
      <xdr:col>0</xdr:col>
      <xdr:colOff>1589990</xdr:colOff>
      <xdr:row>1009</xdr:row>
      <xdr:rowOff>11206</xdr:rowOff>
    </xdr:to>
    <xdr:pic>
      <xdr:nvPicPr>
        <xdr:cNvPr id="786" name="Рисунок 785">
          <a:extLst>
            <a:ext uri="{FF2B5EF4-FFF2-40B4-BE49-F238E27FC236}">
              <a16:creationId xmlns:a16="http://schemas.microsoft.com/office/drawing/2014/main" xmlns="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24609412"/>
          <a:ext cx="816784" cy="459441"/>
        </a:xfrm>
        <a:prstGeom prst="rect">
          <a:avLst/>
        </a:prstGeom>
      </xdr:spPr>
    </xdr:pic>
    <xdr:clientData/>
  </xdr:twoCellAnchor>
  <xdr:twoCellAnchor>
    <xdr:from>
      <xdr:col>0</xdr:col>
      <xdr:colOff>795618</xdr:colOff>
      <xdr:row>1010</xdr:row>
      <xdr:rowOff>78442</xdr:rowOff>
    </xdr:from>
    <xdr:to>
      <xdr:col>0</xdr:col>
      <xdr:colOff>1443618</xdr:colOff>
      <xdr:row>1011</xdr:row>
      <xdr:rowOff>6178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xmlns="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125640354"/>
          <a:ext cx="648000" cy="43200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1011</xdr:row>
      <xdr:rowOff>67236</xdr:rowOff>
    </xdr:from>
    <xdr:to>
      <xdr:col>0</xdr:col>
      <xdr:colOff>1454824</xdr:colOff>
      <xdr:row>1011</xdr:row>
      <xdr:rowOff>499236</xdr:rowOff>
    </xdr:to>
    <xdr:pic>
      <xdr:nvPicPr>
        <xdr:cNvPr id="788" name="Рисунок 787">
          <a:extLst>
            <a:ext uri="{FF2B5EF4-FFF2-40B4-BE49-F238E27FC236}">
              <a16:creationId xmlns:a16="http://schemas.microsoft.com/office/drawing/2014/main" xmlns="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126133412"/>
          <a:ext cx="648000" cy="432000"/>
        </a:xfrm>
        <a:prstGeom prst="rect">
          <a:avLst/>
        </a:prstGeom>
      </xdr:spPr>
    </xdr:pic>
    <xdr:clientData/>
  </xdr:twoCellAnchor>
  <xdr:twoCellAnchor>
    <xdr:from>
      <xdr:col>0</xdr:col>
      <xdr:colOff>829235</xdr:colOff>
      <xdr:row>1012</xdr:row>
      <xdr:rowOff>51547</xdr:rowOff>
    </xdr:from>
    <xdr:to>
      <xdr:col>0</xdr:col>
      <xdr:colOff>1477235</xdr:colOff>
      <xdr:row>1012</xdr:row>
      <xdr:rowOff>483547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xmlns="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35" y="126621988"/>
          <a:ext cx="648000" cy="4320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988</xdr:row>
      <xdr:rowOff>168088</xdr:rowOff>
    </xdr:from>
    <xdr:to>
      <xdr:col>1</xdr:col>
      <xdr:colOff>369794</xdr:colOff>
      <xdr:row>990</xdr:row>
      <xdr:rowOff>141508</xdr:rowOff>
    </xdr:to>
    <xdr:pic>
      <xdr:nvPicPr>
        <xdr:cNvPr id="790" name="Рисунок 789">
          <a:extLst>
            <a:ext uri="{FF2B5EF4-FFF2-40B4-BE49-F238E27FC236}">
              <a16:creationId xmlns:a16="http://schemas.microsoft.com/office/drawing/2014/main" xmlns="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131912"/>
          <a:ext cx="2790265" cy="9819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991</xdr:row>
      <xdr:rowOff>47848</xdr:rowOff>
    </xdr:from>
    <xdr:to>
      <xdr:col>1</xdr:col>
      <xdr:colOff>268941</xdr:colOff>
      <xdr:row>992</xdr:row>
      <xdr:rowOff>490040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xmlns="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524466"/>
          <a:ext cx="2689412" cy="946456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994</xdr:row>
      <xdr:rowOff>56029</xdr:rowOff>
    </xdr:from>
    <xdr:to>
      <xdr:col>1</xdr:col>
      <xdr:colOff>204197</xdr:colOff>
      <xdr:row>995</xdr:row>
      <xdr:rowOff>470649</xdr:rowOff>
    </xdr:to>
    <xdr:pic>
      <xdr:nvPicPr>
        <xdr:cNvPr id="792" name="Рисунок 791">
          <a:extLst>
            <a:ext uri="{FF2B5EF4-FFF2-40B4-BE49-F238E27FC236}">
              <a16:creationId xmlns:a16="http://schemas.microsoft.com/office/drawing/2014/main" xmlns="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117045441"/>
          <a:ext cx="2611061" cy="918884"/>
        </a:xfrm>
        <a:prstGeom prst="rect">
          <a:avLst/>
        </a:prstGeom>
      </xdr:spPr>
    </xdr:pic>
    <xdr:clientData/>
  </xdr:twoCellAnchor>
  <xdr:twoCellAnchor>
    <xdr:from>
      <xdr:col>0</xdr:col>
      <xdr:colOff>318247</xdr:colOff>
      <xdr:row>1014</xdr:row>
      <xdr:rowOff>358587</xdr:rowOff>
    </xdr:from>
    <xdr:to>
      <xdr:col>0</xdr:col>
      <xdr:colOff>1725706</xdr:colOff>
      <xdr:row>1017</xdr:row>
      <xdr:rowOff>155027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xmlns="" id="{00000000-0008-0000-0000-00001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34" r="14551"/>
        <a:stretch/>
      </xdr:blipFill>
      <xdr:spPr>
        <a:xfrm>
          <a:off x="318247" y="127937558"/>
          <a:ext cx="1407459" cy="1309234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1018</xdr:row>
      <xdr:rowOff>333375</xdr:rowOff>
    </xdr:from>
    <xdr:to>
      <xdr:col>0</xdr:col>
      <xdr:colOff>1703294</xdr:colOff>
      <xdr:row>1021</xdr:row>
      <xdr:rowOff>451114</xdr:rowOff>
    </xdr:to>
    <xdr:pic>
      <xdr:nvPicPr>
        <xdr:cNvPr id="794" name="Рисунок 793">
          <a:extLst>
            <a:ext uri="{FF2B5EF4-FFF2-40B4-BE49-F238E27FC236}">
              <a16:creationId xmlns:a16="http://schemas.microsoft.com/office/drawing/2014/main" xmlns="" id="{00000000-0008-0000-0000-00001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60" r="17481"/>
        <a:stretch/>
      </xdr:blipFill>
      <xdr:spPr>
        <a:xfrm>
          <a:off x="57151" y="129929404"/>
          <a:ext cx="1646143" cy="1630534"/>
        </a:xfrm>
        <a:prstGeom prst="rect">
          <a:avLst/>
        </a:prstGeom>
      </xdr:spPr>
    </xdr:pic>
    <xdr:clientData/>
  </xdr:twoCellAnchor>
  <xdr:twoCellAnchor>
    <xdr:from>
      <xdr:col>0</xdr:col>
      <xdr:colOff>916081</xdr:colOff>
      <xdr:row>1002</xdr:row>
      <xdr:rowOff>44494</xdr:rowOff>
    </xdr:from>
    <xdr:to>
      <xdr:col>0</xdr:col>
      <xdr:colOff>1478056</xdr:colOff>
      <xdr:row>1003</xdr:row>
      <xdr:rowOff>43142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xmlns="" id="{00000000-0008-0000-0000-00001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3" t="3052" r="10644" b="10279"/>
        <a:stretch/>
      </xdr:blipFill>
      <xdr:spPr>
        <a:xfrm>
          <a:off x="916081" y="121572288"/>
          <a:ext cx="561975" cy="502913"/>
        </a:xfrm>
        <a:prstGeom prst="rect">
          <a:avLst/>
        </a:prstGeom>
      </xdr:spPr>
    </xdr:pic>
    <xdr:clientData/>
  </xdr:twoCellAnchor>
  <xdr:twoCellAnchor>
    <xdr:from>
      <xdr:col>0</xdr:col>
      <xdr:colOff>887506</xdr:colOff>
      <xdr:row>1003</xdr:row>
      <xdr:rowOff>24653</xdr:rowOff>
    </xdr:from>
    <xdr:to>
      <xdr:col>0</xdr:col>
      <xdr:colOff>1449481</xdr:colOff>
      <xdr:row>1004</xdr:row>
      <xdr:rowOff>23301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xmlns="" id="{00000000-0008-0000-0000-00001C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3" t="3052" r="10644" b="10279"/>
        <a:stretch/>
      </xdr:blipFill>
      <xdr:spPr>
        <a:xfrm>
          <a:off x="887506" y="122056712"/>
          <a:ext cx="561975" cy="502913"/>
        </a:xfrm>
        <a:prstGeom prst="rect">
          <a:avLst/>
        </a:prstGeom>
      </xdr:spPr>
    </xdr:pic>
    <xdr:clientData/>
  </xdr:twoCellAnchor>
  <xdr:twoCellAnchor>
    <xdr:from>
      <xdr:col>0</xdr:col>
      <xdr:colOff>909917</xdr:colOff>
      <xdr:row>1004</xdr:row>
      <xdr:rowOff>35859</xdr:rowOff>
    </xdr:from>
    <xdr:to>
      <xdr:col>0</xdr:col>
      <xdr:colOff>1471892</xdr:colOff>
      <xdr:row>1005</xdr:row>
      <xdr:rowOff>34507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xmlns="" id="{00000000-0008-0000-0000-00001D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3" t="3052" r="10644" b="10279"/>
        <a:stretch/>
      </xdr:blipFill>
      <xdr:spPr>
        <a:xfrm>
          <a:off x="909917" y="122572183"/>
          <a:ext cx="561975" cy="502912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1001</xdr:row>
      <xdr:rowOff>53495</xdr:rowOff>
    </xdr:from>
    <xdr:to>
      <xdr:col>0</xdr:col>
      <xdr:colOff>1605206</xdr:colOff>
      <xdr:row>1002</xdr:row>
      <xdr:rowOff>17230</xdr:rowOff>
    </xdr:to>
    <xdr:pic>
      <xdr:nvPicPr>
        <xdr:cNvPr id="798" name="Рисунок 797">
          <a:extLst>
            <a:ext uri="{FF2B5EF4-FFF2-40B4-BE49-F238E27FC236}">
              <a16:creationId xmlns:a16="http://schemas.microsoft.com/office/drawing/2014/main" xmlns="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21077024"/>
          <a:ext cx="832000" cy="468000"/>
        </a:xfrm>
        <a:prstGeom prst="rect">
          <a:avLst/>
        </a:prstGeom>
      </xdr:spPr>
    </xdr:pic>
    <xdr:clientData/>
  </xdr:twoCellAnchor>
  <xdr:twoCellAnchor>
    <xdr:from>
      <xdr:col>0</xdr:col>
      <xdr:colOff>887506</xdr:colOff>
      <xdr:row>1005</xdr:row>
      <xdr:rowOff>24654</xdr:rowOff>
    </xdr:from>
    <xdr:to>
      <xdr:col>0</xdr:col>
      <xdr:colOff>1449481</xdr:colOff>
      <xdr:row>1006</xdr:row>
      <xdr:rowOff>23301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xmlns="" id="{00000000-0008-0000-0000-00001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63" t="3052" r="10644" b="10279"/>
        <a:stretch/>
      </xdr:blipFill>
      <xdr:spPr>
        <a:xfrm>
          <a:off x="887506" y="123065242"/>
          <a:ext cx="561975" cy="502912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1009</xdr:row>
      <xdr:rowOff>56030</xdr:rowOff>
    </xdr:from>
    <xdr:to>
      <xdr:col>0</xdr:col>
      <xdr:colOff>1589990</xdr:colOff>
      <xdr:row>1010</xdr:row>
      <xdr:rowOff>11206</xdr:rowOff>
    </xdr:to>
    <xdr:pic>
      <xdr:nvPicPr>
        <xdr:cNvPr id="800" name="Рисунок 799">
          <a:extLst>
            <a:ext uri="{FF2B5EF4-FFF2-40B4-BE49-F238E27FC236}">
              <a16:creationId xmlns:a16="http://schemas.microsoft.com/office/drawing/2014/main" xmlns="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25113677"/>
          <a:ext cx="816784" cy="459441"/>
        </a:xfrm>
        <a:prstGeom prst="rect">
          <a:avLst/>
        </a:prstGeom>
      </xdr:spPr>
    </xdr:pic>
    <xdr:clientData/>
  </xdr:twoCellAnchor>
  <xdr:twoCellAnchor>
    <xdr:from>
      <xdr:col>0</xdr:col>
      <xdr:colOff>829235</xdr:colOff>
      <xdr:row>1013</xdr:row>
      <xdr:rowOff>51547</xdr:rowOff>
    </xdr:from>
    <xdr:to>
      <xdr:col>0</xdr:col>
      <xdr:colOff>1477235</xdr:colOff>
      <xdr:row>1013</xdr:row>
      <xdr:rowOff>483547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xmlns="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35" y="127126253"/>
          <a:ext cx="648000" cy="4320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1022</xdr:row>
      <xdr:rowOff>104775</xdr:rowOff>
    </xdr:from>
    <xdr:to>
      <xdr:col>1</xdr:col>
      <xdr:colOff>154921</xdr:colOff>
      <xdr:row>1024</xdr:row>
      <xdr:rowOff>257735</xdr:rowOff>
    </xdr:to>
    <xdr:pic>
      <xdr:nvPicPr>
        <xdr:cNvPr id="802" name="Рисунок 801">
          <a:extLst>
            <a:ext uri="{FF2B5EF4-FFF2-40B4-BE49-F238E27FC236}">
              <a16:creationId xmlns:a16="http://schemas.microsoft.com/office/drawing/2014/main" xmlns="" id="{00000000-0008-0000-0000-00002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59" b="8620"/>
        <a:stretch/>
      </xdr:blipFill>
      <xdr:spPr>
        <a:xfrm>
          <a:off x="19051" y="131717863"/>
          <a:ext cx="2556341" cy="116149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1025</xdr:row>
      <xdr:rowOff>485776</xdr:rowOff>
    </xdr:from>
    <xdr:to>
      <xdr:col>1</xdr:col>
      <xdr:colOff>280148</xdr:colOff>
      <xdr:row>1028</xdr:row>
      <xdr:rowOff>47567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xmlns="" id="{00000000-0008-0000-0000-000023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15" b="17143"/>
        <a:stretch/>
      </xdr:blipFill>
      <xdr:spPr>
        <a:xfrm>
          <a:off x="1" y="133611658"/>
          <a:ext cx="2700618" cy="1074585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1066</xdr:row>
      <xdr:rowOff>11206</xdr:rowOff>
    </xdr:from>
    <xdr:to>
      <xdr:col>0</xdr:col>
      <xdr:colOff>1583206</xdr:colOff>
      <xdr:row>1066</xdr:row>
      <xdr:rowOff>494056</xdr:rowOff>
    </xdr:to>
    <xdr:pic>
      <xdr:nvPicPr>
        <xdr:cNvPr id="833" name="Рисунок 832">
          <a:extLst>
            <a:ext uri="{FF2B5EF4-FFF2-40B4-BE49-F238E27FC236}">
              <a16:creationId xmlns:a16="http://schemas.microsoft.com/office/drawing/2014/main" xmlns="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61375912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1065</xdr:row>
      <xdr:rowOff>11206</xdr:rowOff>
    </xdr:from>
    <xdr:to>
      <xdr:col>0</xdr:col>
      <xdr:colOff>1595918</xdr:colOff>
      <xdr:row>1065</xdr:row>
      <xdr:rowOff>494056</xdr:rowOff>
    </xdr:to>
    <xdr:pic>
      <xdr:nvPicPr>
        <xdr:cNvPr id="834" name="Рисунок 833">
          <a:extLst>
            <a:ext uri="{FF2B5EF4-FFF2-40B4-BE49-F238E27FC236}">
              <a16:creationId xmlns:a16="http://schemas.microsoft.com/office/drawing/2014/main" xmlns="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0271441"/>
          <a:ext cx="833918" cy="482850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1068</xdr:row>
      <xdr:rowOff>11206</xdr:rowOff>
    </xdr:from>
    <xdr:to>
      <xdr:col>0</xdr:col>
      <xdr:colOff>1583206</xdr:colOff>
      <xdr:row>1068</xdr:row>
      <xdr:rowOff>494056</xdr:rowOff>
    </xdr:to>
    <xdr:pic>
      <xdr:nvPicPr>
        <xdr:cNvPr id="835" name="Рисунок 834">
          <a:extLst>
            <a:ext uri="{FF2B5EF4-FFF2-40B4-BE49-F238E27FC236}">
              <a16:creationId xmlns:a16="http://schemas.microsoft.com/office/drawing/2014/main" xmlns="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62384441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1067</xdr:row>
      <xdr:rowOff>11206</xdr:rowOff>
    </xdr:from>
    <xdr:to>
      <xdr:col>0</xdr:col>
      <xdr:colOff>1595918</xdr:colOff>
      <xdr:row>1067</xdr:row>
      <xdr:rowOff>494056</xdr:rowOff>
    </xdr:to>
    <xdr:pic>
      <xdr:nvPicPr>
        <xdr:cNvPr id="836" name="Рисунок 835">
          <a:extLst>
            <a:ext uri="{FF2B5EF4-FFF2-40B4-BE49-F238E27FC236}">
              <a16:creationId xmlns:a16="http://schemas.microsoft.com/office/drawing/2014/main" xmlns="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61880177"/>
          <a:ext cx="833918" cy="482850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1070</xdr:row>
      <xdr:rowOff>11206</xdr:rowOff>
    </xdr:from>
    <xdr:to>
      <xdr:col>0</xdr:col>
      <xdr:colOff>1583206</xdr:colOff>
      <xdr:row>1070</xdr:row>
      <xdr:rowOff>494056</xdr:rowOff>
    </xdr:to>
    <xdr:pic>
      <xdr:nvPicPr>
        <xdr:cNvPr id="837" name="Рисунок 836">
          <a:extLst>
            <a:ext uri="{FF2B5EF4-FFF2-40B4-BE49-F238E27FC236}">
              <a16:creationId xmlns:a16="http://schemas.microsoft.com/office/drawing/2014/main" xmlns="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63392971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1069</xdr:row>
      <xdr:rowOff>11206</xdr:rowOff>
    </xdr:from>
    <xdr:to>
      <xdr:col>0</xdr:col>
      <xdr:colOff>1595918</xdr:colOff>
      <xdr:row>1069</xdr:row>
      <xdr:rowOff>494056</xdr:rowOff>
    </xdr:to>
    <xdr:pic>
      <xdr:nvPicPr>
        <xdr:cNvPr id="838" name="Рисунок 837">
          <a:extLst>
            <a:ext uri="{FF2B5EF4-FFF2-40B4-BE49-F238E27FC236}">
              <a16:creationId xmlns:a16="http://schemas.microsoft.com/office/drawing/2014/main" xmlns="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62888706"/>
          <a:ext cx="833918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688</xdr:row>
      <xdr:rowOff>22412</xdr:rowOff>
    </xdr:from>
    <xdr:to>
      <xdr:col>0</xdr:col>
      <xdr:colOff>1572001</xdr:colOff>
      <xdr:row>689</xdr:row>
      <xdr:rowOff>997</xdr:rowOff>
    </xdr:to>
    <xdr:pic>
      <xdr:nvPicPr>
        <xdr:cNvPr id="839" name="Рисунок 838">
          <a:extLst>
            <a:ext uri="{FF2B5EF4-FFF2-40B4-BE49-F238E27FC236}">
              <a16:creationId xmlns:a16="http://schemas.microsoft.com/office/drawing/2014/main" xmlns="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164412706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1071</xdr:row>
      <xdr:rowOff>22412</xdr:rowOff>
    </xdr:from>
    <xdr:to>
      <xdr:col>0</xdr:col>
      <xdr:colOff>1607124</xdr:colOff>
      <xdr:row>1072</xdr:row>
      <xdr:rowOff>997</xdr:rowOff>
    </xdr:to>
    <xdr:pic>
      <xdr:nvPicPr>
        <xdr:cNvPr id="840" name="Рисунок 839">
          <a:extLst>
            <a:ext uri="{FF2B5EF4-FFF2-40B4-BE49-F238E27FC236}">
              <a16:creationId xmlns:a16="http://schemas.microsoft.com/office/drawing/2014/main" xmlns="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63908441"/>
          <a:ext cx="833918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1063</xdr:row>
      <xdr:rowOff>0</xdr:rowOff>
    </xdr:from>
    <xdr:to>
      <xdr:col>0</xdr:col>
      <xdr:colOff>1290794</xdr:colOff>
      <xdr:row>1063</xdr:row>
      <xdr:rowOff>490694</xdr:rowOff>
    </xdr:to>
    <xdr:pic>
      <xdr:nvPicPr>
        <xdr:cNvPr id="852" name="Рисунок 851">
          <a:extLst>
            <a:ext uri="{FF2B5EF4-FFF2-40B4-BE49-F238E27FC236}">
              <a16:creationId xmlns:a16="http://schemas.microsoft.com/office/drawing/2014/main" xmlns="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57823647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1063</xdr:row>
      <xdr:rowOff>493059</xdr:rowOff>
    </xdr:from>
    <xdr:to>
      <xdr:col>0</xdr:col>
      <xdr:colOff>1290794</xdr:colOff>
      <xdr:row>1064</xdr:row>
      <xdr:rowOff>490694</xdr:rowOff>
    </xdr:to>
    <xdr:pic>
      <xdr:nvPicPr>
        <xdr:cNvPr id="853" name="Рисунок 852">
          <a:extLst>
            <a:ext uri="{FF2B5EF4-FFF2-40B4-BE49-F238E27FC236}">
              <a16:creationId xmlns:a16="http://schemas.microsoft.com/office/drawing/2014/main" xmlns="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58327912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1064</xdr:row>
      <xdr:rowOff>493058</xdr:rowOff>
    </xdr:from>
    <xdr:to>
      <xdr:col>0</xdr:col>
      <xdr:colOff>1290794</xdr:colOff>
      <xdr:row>1065</xdr:row>
      <xdr:rowOff>0</xdr:rowOff>
    </xdr:to>
    <xdr:pic>
      <xdr:nvPicPr>
        <xdr:cNvPr id="854" name="Рисунок 853">
          <a:extLst>
            <a:ext uri="{FF2B5EF4-FFF2-40B4-BE49-F238E27FC236}">
              <a16:creationId xmlns:a16="http://schemas.microsoft.com/office/drawing/2014/main" xmlns="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58832176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1058</xdr:row>
      <xdr:rowOff>11206</xdr:rowOff>
    </xdr:from>
    <xdr:to>
      <xdr:col>0</xdr:col>
      <xdr:colOff>1583206</xdr:colOff>
      <xdr:row>1058</xdr:row>
      <xdr:rowOff>494056</xdr:rowOff>
    </xdr:to>
    <xdr:pic>
      <xdr:nvPicPr>
        <xdr:cNvPr id="859" name="Рисунок 858">
          <a:extLst>
            <a:ext uri="{FF2B5EF4-FFF2-40B4-BE49-F238E27FC236}">
              <a16:creationId xmlns:a16="http://schemas.microsoft.com/office/drawing/2014/main" xmlns="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51290618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771960</xdr:colOff>
      <xdr:row>1057</xdr:row>
      <xdr:rowOff>9961</xdr:rowOff>
    </xdr:from>
    <xdr:to>
      <xdr:col>0</xdr:col>
      <xdr:colOff>1581960</xdr:colOff>
      <xdr:row>1057</xdr:row>
      <xdr:rowOff>492811</xdr:rowOff>
    </xdr:to>
    <xdr:pic>
      <xdr:nvPicPr>
        <xdr:cNvPr id="861" name="Рисунок 860">
          <a:extLst>
            <a:ext uri="{FF2B5EF4-FFF2-40B4-BE49-F238E27FC236}">
              <a16:creationId xmlns:a16="http://schemas.microsoft.com/office/drawing/2014/main" xmlns="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960" y="150785108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696</xdr:row>
      <xdr:rowOff>22412</xdr:rowOff>
    </xdr:from>
    <xdr:to>
      <xdr:col>0</xdr:col>
      <xdr:colOff>1538030</xdr:colOff>
      <xdr:row>697</xdr:row>
      <xdr:rowOff>998</xdr:rowOff>
    </xdr:to>
    <xdr:pic>
      <xdr:nvPicPr>
        <xdr:cNvPr id="960" name="Рисунок 959">
          <a:extLst>
            <a:ext uri="{FF2B5EF4-FFF2-40B4-BE49-F238E27FC236}">
              <a16:creationId xmlns:a16="http://schemas.microsoft.com/office/drawing/2014/main" xmlns="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166934030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697</xdr:row>
      <xdr:rowOff>22412</xdr:rowOff>
    </xdr:from>
    <xdr:to>
      <xdr:col>0</xdr:col>
      <xdr:colOff>1538030</xdr:colOff>
      <xdr:row>698</xdr:row>
      <xdr:rowOff>997</xdr:rowOff>
    </xdr:to>
    <xdr:pic>
      <xdr:nvPicPr>
        <xdr:cNvPr id="961" name="Рисунок 960">
          <a:extLst>
            <a:ext uri="{FF2B5EF4-FFF2-40B4-BE49-F238E27FC236}">
              <a16:creationId xmlns:a16="http://schemas.microsoft.com/office/drawing/2014/main" xmlns="" id="{00000000-0008-0000-00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167438294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708</xdr:row>
      <xdr:rowOff>22412</xdr:rowOff>
    </xdr:from>
    <xdr:to>
      <xdr:col>0</xdr:col>
      <xdr:colOff>1538030</xdr:colOff>
      <xdr:row>709</xdr:row>
      <xdr:rowOff>997</xdr:rowOff>
    </xdr:to>
    <xdr:pic>
      <xdr:nvPicPr>
        <xdr:cNvPr id="962" name="Рисунок 961">
          <a:extLst>
            <a:ext uri="{FF2B5EF4-FFF2-40B4-BE49-F238E27FC236}">
              <a16:creationId xmlns:a16="http://schemas.microsoft.com/office/drawing/2014/main" xmlns="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172985206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709</xdr:row>
      <xdr:rowOff>22412</xdr:rowOff>
    </xdr:from>
    <xdr:to>
      <xdr:col>0</xdr:col>
      <xdr:colOff>1538030</xdr:colOff>
      <xdr:row>710</xdr:row>
      <xdr:rowOff>997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xmlns="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173489471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700</xdr:row>
      <xdr:rowOff>22412</xdr:rowOff>
    </xdr:from>
    <xdr:to>
      <xdr:col>0</xdr:col>
      <xdr:colOff>1538244</xdr:colOff>
      <xdr:row>701</xdr:row>
      <xdr:rowOff>997</xdr:rowOff>
    </xdr:to>
    <xdr:pic>
      <xdr:nvPicPr>
        <xdr:cNvPr id="964" name="Рисунок 963">
          <a:extLst>
            <a:ext uri="{FF2B5EF4-FFF2-40B4-BE49-F238E27FC236}">
              <a16:creationId xmlns:a16="http://schemas.microsoft.com/office/drawing/2014/main" xmlns="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168951088"/>
          <a:ext cx="720214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701</xdr:row>
      <xdr:rowOff>22412</xdr:rowOff>
    </xdr:from>
    <xdr:to>
      <xdr:col>0</xdr:col>
      <xdr:colOff>1538030</xdr:colOff>
      <xdr:row>702</xdr:row>
      <xdr:rowOff>997</xdr:rowOff>
    </xdr:to>
    <xdr:pic>
      <xdr:nvPicPr>
        <xdr:cNvPr id="965" name="Рисунок 964">
          <a:extLst>
            <a:ext uri="{FF2B5EF4-FFF2-40B4-BE49-F238E27FC236}">
              <a16:creationId xmlns:a16="http://schemas.microsoft.com/office/drawing/2014/main" xmlns="" id="{00000000-0008-0000-00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169455353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702</xdr:row>
      <xdr:rowOff>22412</xdr:rowOff>
    </xdr:from>
    <xdr:to>
      <xdr:col>0</xdr:col>
      <xdr:colOff>1538030</xdr:colOff>
      <xdr:row>703</xdr:row>
      <xdr:rowOff>997</xdr:rowOff>
    </xdr:to>
    <xdr:pic>
      <xdr:nvPicPr>
        <xdr:cNvPr id="966" name="Рисунок 965">
          <a:extLst>
            <a:ext uri="{FF2B5EF4-FFF2-40B4-BE49-F238E27FC236}">
              <a16:creationId xmlns:a16="http://schemas.microsoft.com/office/drawing/2014/main" xmlns="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169959618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704</xdr:row>
      <xdr:rowOff>22412</xdr:rowOff>
    </xdr:from>
    <xdr:to>
      <xdr:col>0</xdr:col>
      <xdr:colOff>1538030</xdr:colOff>
      <xdr:row>705</xdr:row>
      <xdr:rowOff>997</xdr:rowOff>
    </xdr:to>
    <xdr:pic>
      <xdr:nvPicPr>
        <xdr:cNvPr id="967" name="Рисунок 966">
          <a:extLst>
            <a:ext uri="{FF2B5EF4-FFF2-40B4-BE49-F238E27FC236}">
              <a16:creationId xmlns:a16="http://schemas.microsoft.com/office/drawing/2014/main" xmlns="" id="{00000000-0008-0000-00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170968147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712</xdr:row>
      <xdr:rowOff>22412</xdr:rowOff>
    </xdr:from>
    <xdr:to>
      <xdr:col>0</xdr:col>
      <xdr:colOff>1538030</xdr:colOff>
      <xdr:row>713</xdr:row>
      <xdr:rowOff>997</xdr:rowOff>
    </xdr:to>
    <xdr:pic>
      <xdr:nvPicPr>
        <xdr:cNvPr id="968" name="Рисунок 967">
          <a:extLst>
            <a:ext uri="{FF2B5EF4-FFF2-40B4-BE49-F238E27FC236}">
              <a16:creationId xmlns:a16="http://schemas.microsoft.com/office/drawing/2014/main" xmlns="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175002265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713</xdr:row>
      <xdr:rowOff>22412</xdr:rowOff>
    </xdr:from>
    <xdr:to>
      <xdr:col>0</xdr:col>
      <xdr:colOff>1538030</xdr:colOff>
      <xdr:row>714</xdr:row>
      <xdr:rowOff>998</xdr:rowOff>
    </xdr:to>
    <xdr:pic>
      <xdr:nvPicPr>
        <xdr:cNvPr id="969" name="Рисунок 968">
          <a:extLst>
            <a:ext uri="{FF2B5EF4-FFF2-40B4-BE49-F238E27FC236}">
              <a16:creationId xmlns:a16="http://schemas.microsoft.com/office/drawing/2014/main" xmlns="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175506530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714</xdr:row>
      <xdr:rowOff>22412</xdr:rowOff>
    </xdr:from>
    <xdr:to>
      <xdr:col>0</xdr:col>
      <xdr:colOff>1538030</xdr:colOff>
      <xdr:row>715</xdr:row>
      <xdr:rowOff>997</xdr:rowOff>
    </xdr:to>
    <xdr:pic>
      <xdr:nvPicPr>
        <xdr:cNvPr id="970" name="Рисунок 969">
          <a:extLst>
            <a:ext uri="{FF2B5EF4-FFF2-40B4-BE49-F238E27FC236}">
              <a16:creationId xmlns:a16="http://schemas.microsoft.com/office/drawing/2014/main" xmlns="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176010794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78442</xdr:colOff>
      <xdr:row>705</xdr:row>
      <xdr:rowOff>0</xdr:rowOff>
    </xdr:from>
    <xdr:to>
      <xdr:col>0</xdr:col>
      <xdr:colOff>798442</xdr:colOff>
      <xdr:row>705</xdr:row>
      <xdr:rowOff>0</xdr:rowOff>
    </xdr:to>
    <xdr:pic>
      <xdr:nvPicPr>
        <xdr:cNvPr id="972" name="Рисунок 971">
          <a:extLst>
            <a:ext uri="{FF2B5EF4-FFF2-40B4-BE49-F238E27FC236}">
              <a16:creationId xmlns:a16="http://schemas.microsoft.com/office/drawing/2014/main" xmlns="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2" y="6562725"/>
          <a:ext cx="529500" cy="0"/>
        </a:xfrm>
        <a:prstGeom prst="rect">
          <a:avLst/>
        </a:prstGeom>
      </xdr:spPr>
    </xdr:pic>
    <xdr:clientData/>
  </xdr:twoCellAnchor>
  <xdr:twoCellAnchor>
    <xdr:from>
      <xdr:col>0</xdr:col>
      <xdr:colOff>846492</xdr:colOff>
      <xdr:row>707</xdr:row>
      <xdr:rowOff>40005</xdr:rowOff>
    </xdr:from>
    <xdr:to>
      <xdr:col>0</xdr:col>
      <xdr:colOff>1491652</xdr:colOff>
      <xdr:row>708</xdr:row>
      <xdr:rowOff>560</xdr:rowOff>
    </xdr:to>
    <xdr:pic>
      <xdr:nvPicPr>
        <xdr:cNvPr id="973" name="Рисунок 972">
          <a:extLst>
            <a:ext uri="{FF2B5EF4-FFF2-40B4-BE49-F238E27FC236}">
              <a16:creationId xmlns:a16="http://schemas.microsoft.com/office/drawing/2014/main" xmlns="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492" y="172498534"/>
          <a:ext cx="645160" cy="464820"/>
        </a:xfrm>
        <a:prstGeom prst="rect">
          <a:avLst/>
        </a:prstGeom>
      </xdr:spPr>
    </xdr:pic>
    <xdr:clientData/>
  </xdr:twoCellAnchor>
  <xdr:twoCellAnchor>
    <xdr:from>
      <xdr:col>0</xdr:col>
      <xdr:colOff>815649</xdr:colOff>
      <xdr:row>695</xdr:row>
      <xdr:rowOff>20030</xdr:rowOff>
    </xdr:from>
    <xdr:to>
      <xdr:col>0</xdr:col>
      <xdr:colOff>1535649</xdr:colOff>
      <xdr:row>695</xdr:row>
      <xdr:rowOff>502880</xdr:rowOff>
    </xdr:to>
    <xdr:pic>
      <xdr:nvPicPr>
        <xdr:cNvPr id="974" name="Рисунок 973">
          <a:extLst>
            <a:ext uri="{FF2B5EF4-FFF2-40B4-BE49-F238E27FC236}">
              <a16:creationId xmlns:a16="http://schemas.microsoft.com/office/drawing/2014/main" xmlns="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649" y="166427383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813266</xdr:colOff>
      <xdr:row>694</xdr:row>
      <xdr:rowOff>17648</xdr:rowOff>
    </xdr:from>
    <xdr:to>
      <xdr:col>0</xdr:col>
      <xdr:colOff>1533266</xdr:colOff>
      <xdr:row>694</xdr:row>
      <xdr:rowOff>500498</xdr:rowOff>
    </xdr:to>
    <xdr:pic>
      <xdr:nvPicPr>
        <xdr:cNvPr id="976" name="Рисунок 975">
          <a:extLst>
            <a:ext uri="{FF2B5EF4-FFF2-40B4-BE49-F238E27FC236}">
              <a16:creationId xmlns:a16="http://schemas.microsoft.com/office/drawing/2014/main" xmlns="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266" y="165920736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815649</xdr:colOff>
      <xdr:row>703</xdr:row>
      <xdr:rowOff>20031</xdr:rowOff>
    </xdr:from>
    <xdr:to>
      <xdr:col>0</xdr:col>
      <xdr:colOff>1535649</xdr:colOff>
      <xdr:row>703</xdr:row>
      <xdr:rowOff>502881</xdr:rowOff>
    </xdr:to>
    <xdr:pic>
      <xdr:nvPicPr>
        <xdr:cNvPr id="977" name="Рисунок 976">
          <a:extLst>
            <a:ext uri="{FF2B5EF4-FFF2-40B4-BE49-F238E27FC236}">
              <a16:creationId xmlns:a16="http://schemas.microsoft.com/office/drawing/2014/main" xmlns="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649" y="170461502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823630</xdr:colOff>
      <xdr:row>698</xdr:row>
      <xdr:rowOff>23812</xdr:rowOff>
    </xdr:from>
    <xdr:to>
      <xdr:col>0</xdr:col>
      <xdr:colOff>1543844</xdr:colOff>
      <xdr:row>699</xdr:row>
      <xdr:rowOff>2397</xdr:rowOff>
    </xdr:to>
    <xdr:pic>
      <xdr:nvPicPr>
        <xdr:cNvPr id="978" name="Рисунок 977">
          <a:extLst>
            <a:ext uri="{FF2B5EF4-FFF2-40B4-BE49-F238E27FC236}">
              <a16:creationId xmlns:a16="http://schemas.microsoft.com/office/drawing/2014/main" xmlns="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630" y="167943959"/>
          <a:ext cx="720214" cy="482850"/>
        </a:xfrm>
        <a:prstGeom prst="rect">
          <a:avLst/>
        </a:prstGeom>
      </xdr:spPr>
    </xdr:pic>
    <xdr:clientData/>
  </xdr:twoCellAnchor>
  <xdr:twoCellAnchor>
    <xdr:from>
      <xdr:col>0</xdr:col>
      <xdr:colOff>823630</xdr:colOff>
      <xdr:row>699</xdr:row>
      <xdr:rowOff>23812</xdr:rowOff>
    </xdr:from>
    <xdr:to>
      <xdr:col>0</xdr:col>
      <xdr:colOff>1543844</xdr:colOff>
      <xdr:row>700</xdr:row>
      <xdr:rowOff>2398</xdr:rowOff>
    </xdr:to>
    <xdr:pic>
      <xdr:nvPicPr>
        <xdr:cNvPr id="979" name="Рисунок 978">
          <a:extLst>
            <a:ext uri="{FF2B5EF4-FFF2-40B4-BE49-F238E27FC236}">
              <a16:creationId xmlns:a16="http://schemas.microsoft.com/office/drawing/2014/main" xmlns="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630" y="168448224"/>
          <a:ext cx="720214" cy="482850"/>
        </a:xfrm>
        <a:prstGeom prst="rect">
          <a:avLst/>
        </a:prstGeom>
      </xdr:spPr>
    </xdr:pic>
    <xdr:clientData/>
  </xdr:twoCellAnchor>
  <xdr:twoCellAnchor>
    <xdr:from>
      <xdr:col>0</xdr:col>
      <xdr:colOff>823630</xdr:colOff>
      <xdr:row>705</xdr:row>
      <xdr:rowOff>59530</xdr:rowOff>
    </xdr:from>
    <xdr:to>
      <xdr:col>0</xdr:col>
      <xdr:colOff>1468790</xdr:colOff>
      <xdr:row>706</xdr:row>
      <xdr:rowOff>1035</xdr:rowOff>
    </xdr:to>
    <xdr:pic>
      <xdr:nvPicPr>
        <xdr:cNvPr id="980" name="Рисунок 979">
          <a:extLst>
            <a:ext uri="{FF2B5EF4-FFF2-40B4-BE49-F238E27FC236}">
              <a16:creationId xmlns:a16="http://schemas.microsoft.com/office/drawing/2014/main" xmlns="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630" y="171509530"/>
          <a:ext cx="645160" cy="445770"/>
        </a:xfrm>
        <a:prstGeom prst="rect">
          <a:avLst/>
        </a:prstGeom>
      </xdr:spPr>
    </xdr:pic>
    <xdr:clientData/>
  </xdr:twoCellAnchor>
  <xdr:twoCellAnchor>
    <xdr:from>
      <xdr:col>0</xdr:col>
      <xdr:colOff>823630</xdr:colOff>
      <xdr:row>706</xdr:row>
      <xdr:rowOff>59530</xdr:rowOff>
    </xdr:from>
    <xdr:to>
      <xdr:col>0</xdr:col>
      <xdr:colOff>1468790</xdr:colOff>
      <xdr:row>707</xdr:row>
      <xdr:rowOff>1036</xdr:rowOff>
    </xdr:to>
    <xdr:pic>
      <xdr:nvPicPr>
        <xdr:cNvPr id="981" name="Рисунок 980">
          <a:extLst>
            <a:ext uri="{FF2B5EF4-FFF2-40B4-BE49-F238E27FC236}">
              <a16:creationId xmlns:a16="http://schemas.microsoft.com/office/drawing/2014/main" xmlns="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630" y="172013795"/>
          <a:ext cx="645160" cy="445770"/>
        </a:xfrm>
        <a:prstGeom prst="rect">
          <a:avLst/>
        </a:prstGeom>
      </xdr:spPr>
    </xdr:pic>
    <xdr:clientData/>
  </xdr:twoCellAnchor>
  <xdr:twoCellAnchor>
    <xdr:from>
      <xdr:col>0</xdr:col>
      <xdr:colOff>823630</xdr:colOff>
      <xdr:row>711</xdr:row>
      <xdr:rowOff>59530</xdr:rowOff>
    </xdr:from>
    <xdr:to>
      <xdr:col>0</xdr:col>
      <xdr:colOff>1543630</xdr:colOff>
      <xdr:row>712</xdr:row>
      <xdr:rowOff>28030</xdr:rowOff>
    </xdr:to>
    <xdr:pic>
      <xdr:nvPicPr>
        <xdr:cNvPr id="982" name="Рисунок 981">
          <a:extLst>
            <a:ext uri="{FF2B5EF4-FFF2-40B4-BE49-F238E27FC236}">
              <a16:creationId xmlns:a16="http://schemas.microsoft.com/office/drawing/2014/main" xmlns="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630" y="174535118"/>
          <a:ext cx="720000" cy="472765"/>
        </a:xfrm>
        <a:prstGeom prst="rect">
          <a:avLst/>
        </a:prstGeom>
      </xdr:spPr>
    </xdr:pic>
    <xdr:clientData/>
  </xdr:twoCellAnchor>
  <xdr:twoCellAnchor>
    <xdr:from>
      <xdr:col>0</xdr:col>
      <xdr:colOff>823630</xdr:colOff>
      <xdr:row>710</xdr:row>
      <xdr:rowOff>59530</xdr:rowOff>
    </xdr:from>
    <xdr:to>
      <xdr:col>0</xdr:col>
      <xdr:colOff>1543630</xdr:colOff>
      <xdr:row>711</xdr:row>
      <xdr:rowOff>28030</xdr:rowOff>
    </xdr:to>
    <xdr:pic>
      <xdr:nvPicPr>
        <xdr:cNvPr id="983" name="Рисунок 982">
          <a:extLst>
            <a:ext uri="{FF2B5EF4-FFF2-40B4-BE49-F238E27FC236}">
              <a16:creationId xmlns:a16="http://schemas.microsoft.com/office/drawing/2014/main" xmlns="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630" y="174030854"/>
          <a:ext cx="720000" cy="472764"/>
        </a:xfrm>
        <a:prstGeom prst="rect">
          <a:avLst/>
        </a:prstGeom>
      </xdr:spPr>
    </xdr:pic>
    <xdr:clientData/>
  </xdr:twoCellAnchor>
  <xdr:twoCellAnchor>
    <xdr:from>
      <xdr:col>0</xdr:col>
      <xdr:colOff>811724</xdr:colOff>
      <xdr:row>714</xdr:row>
      <xdr:rowOff>381000</xdr:rowOff>
    </xdr:from>
    <xdr:to>
      <xdr:col>0</xdr:col>
      <xdr:colOff>1531724</xdr:colOff>
      <xdr:row>715</xdr:row>
      <xdr:rowOff>493059</xdr:rowOff>
    </xdr:to>
    <xdr:pic>
      <xdr:nvPicPr>
        <xdr:cNvPr id="984" name="Рисунок 983">
          <a:extLst>
            <a:ext uri="{FF2B5EF4-FFF2-40B4-BE49-F238E27FC236}">
              <a16:creationId xmlns:a16="http://schemas.microsoft.com/office/drawing/2014/main" xmlns="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724" y="22154029"/>
          <a:ext cx="720000" cy="616324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718</xdr:row>
      <xdr:rowOff>33618</xdr:rowOff>
    </xdr:from>
    <xdr:to>
      <xdr:col>0</xdr:col>
      <xdr:colOff>1482000</xdr:colOff>
      <xdr:row>719</xdr:row>
      <xdr:rowOff>12203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xmlns="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78039059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719</xdr:row>
      <xdr:rowOff>33618</xdr:rowOff>
    </xdr:from>
    <xdr:to>
      <xdr:col>0</xdr:col>
      <xdr:colOff>1482000</xdr:colOff>
      <xdr:row>720</xdr:row>
      <xdr:rowOff>12203</xdr:rowOff>
    </xdr:to>
    <xdr:pic>
      <xdr:nvPicPr>
        <xdr:cNvPr id="986" name="Рисунок 985">
          <a:extLst>
            <a:ext uri="{FF2B5EF4-FFF2-40B4-BE49-F238E27FC236}">
              <a16:creationId xmlns:a16="http://schemas.microsoft.com/office/drawing/2014/main" xmlns="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78543324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720</xdr:row>
      <xdr:rowOff>33618</xdr:rowOff>
    </xdr:from>
    <xdr:to>
      <xdr:col>0</xdr:col>
      <xdr:colOff>1482000</xdr:colOff>
      <xdr:row>721</xdr:row>
      <xdr:rowOff>12204</xdr:rowOff>
    </xdr:to>
    <xdr:pic>
      <xdr:nvPicPr>
        <xdr:cNvPr id="987" name="Рисунок 986">
          <a:extLst>
            <a:ext uri="{FF2B5EF4-FFF2-40B4-BE49-F238E27FC236}">
              <a16:creationId xmlns:a16="http://schemas.microsoft.com/office/drawing/2014/main" xmlns="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79047589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721</xdr:row>
      <xdr:rowOff>33618</xdr:rowOff>
    </xdr:from>
    <xdr:to>
      <xdr:col>0</xdr:col>
      <xdr:colOff>1482000</xdr:colOff>
      <xdr:row>722</xdr:row>
      <xdr:rowOff>12203</xdr:rowOff>
    </xdr:to>
    <xdr:pic>
      <xdr:nvPicPr>
        <xdr:cNvPr id="988" name="Рисунок 987">
          <a:extLst>
            <a:ext uri="{FF2B5EF4-FFF2-40B4-BE49-F238E27FC236}">
              <a16:creationId xmlns:a16="http://schemas.microsoft.com/office/drawing/2014/main" xmlns="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79551853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722</xdr:row>
      <xdr:rowOff>33618</xdr:rowOff>
    </xdr:from>
    <xdr:to>
      <xdr:col>0</xdr:col>
      <xdr:colOff>1482000</xdr:colOff>
      <xdr:row>723</xdr:row>
      <xdr:rowOff>12203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xmlns="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0056118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723</xdr:row>
      <xdr:rowOff>33618</xdr:rowOff>
    </xdr:from>
    <xdr:to>
      <xdr:col>0</xdr:col>
      <xdr:colOff>1482000</xdr:colOff>
      <xdr:row>724</xdr:row>
      <xdr:rowOff>12204</xdr:rowOff>
    </xdr:to>
    <xdr:pic>
      <xdr:nvPicPr>
        <xdr:cNvPr id="990" name="Рисунок 989">
          <a:extLst>
            <a:ext uri="{FF2B5EF4-FFF2-40B4-BE49-F238E27FC236}">
              <a16:creationId xmlns:a16="http://schemas.microsoft.com/office/drawing/2014/main" xmlns="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0560383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725</xdr:row>
      <xdr:rowOff>33618</xdr:rowOff>
    </xdr:from>
    <xdr:to>
      <xdr:col>0</xdr:col>
      <xdr:colOff>1482000</xdr:colOff>
      <xdr:row>726</xdr:row>
      <xdr:rowOff>12203</xdr:rowOff>
    </xdr:to>
    <xdr:pic>
      <xdr:nvPicPr>
        <xdr:cNvPr id="991" name="Рисунок 990">
          <a:extLst>
            <a:ext uri="{FF2B5EF4-FFF2-40B4-BE49-F238E27FC236}">
              <a16:creationId xmlns:a16="http://schemas.microsoft.com/office/drawing/2014/main" xmlns="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1568912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724</xdr:row>
      <xdr:rowOff>33618</xdr:rowOff>
    </xdr:from>
    <xdr:to>
      <xdr:col>0</xdr:col>
      <xdr:colOff>1482000</xdr:colOff>
      <xdr:row>725</xdr:row>
      <xdr:rowOff>12203</xdr:rowOff>
    </xdr:to>
    <xdr:pic>
      <xdr:nvPicPr>
        <xdr:cNvPr id="992" name="Рисунок 991">
          <a:extLst>
            <a:ext uri="{FF2B5EF4-FFF2-40B4-BE49-F238E27FC236}">
              <a16:creationId xmlns:a16="http://schemas.microsoft.com/office/drawing/2014/main" xmlns="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1064647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726</xdr:row>
      <xdr:rowOff>33618</xdr:rowOff>
    </xdr:from>
    <xdr:to>
      <xdr:col>0</xdr:col>
      <xdr:colOff>1482000</xdr:colOff>
      <xdr:row>727</xdr:row>
      <xdr:rowOff>12203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xmlns="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82073177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727</xdr:row>
      <xdr:rowOff>56029</xdr:rowOff>
    </xdr:from>
    <xdr:to>
      <xdr:col>0</xdr:col>
      <xdr:colOff>1470794</xdr:colOff>
      <xdr:row>728</xdr:row>
      <xdr:rowOff>34615</xdr:rowOff>
    </xdr:to>
    <xdr:pic>
      <xdr:nvPicPr>
        <xdr:cNvPr id="994" name="Рисунок 993">
          <a:extLst>
            <a:ext uri="{FF2B5EF4-FFF2-40B4-BE49-F238E27FC236}">
              <a16:creationId xmlns:a16="http://schemas.microsoft.com/office/drawing/2014/main" xmlns="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2599853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728</xdr:row>
      <xdr:rowOff>56029</xdr:rowOff>
    </xdr:from>
    <xdr:to>
      <xdr:col>0</xdr:col>
      <xdr:colOff>1470794</xdr:colOff>
      <xdr:row>729</xdr:row>
      <xdr:rowOff>34614</xdr:rowOff>
    </xdr:to>
    <xdr:pic>
      <xdr:nvPicPr>
        <xdr:cNvPr id="995" name="Рисунок 994">
          <a:extLst>
            <a:ext uri="{FF2B5EF4-FFF2-40B4-BE49-F238E27FC236}">
              <a16:creationId xmlns:a16="http://schemas.microsoft.com/office/drawing/2014/main" xmlns="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3104117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729</xdr:row>
      <xdr:rowOff>56029</xdr:rowOff>
    </xdr:from>
    <xdr:to>
      <xdr:col>0</xdr:col>
      <xdr:colOff>1470794</xdr:colOff>
      <xdr:row>730</xdr:row>
      <xdr:rowOff>34614</xdr:rowOff>
    </xdr:to>
    <xdr:pic>
      <xdr:nvPicPr>
        <xdr:cNvPr id="996" name="Рисунок 995">
          <a:extLst>
            <a:ext uri="{FF2B5EF4-FFF2-40B4-BE49-F238E27FC236}">
              <a16:creationId xmlns:a16="http://schemas.microsoft.com/office/drawing/2014/main" xmlns="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3608382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730</xdr:row>
      <xdr:rowOff>56029</xdr:rowOff>
    </xdr:from>
    <xdr:to>
      <xdr:col>0</xdr:col>
      <xdr:colOff>1470794</xdr:colOff>
      <xdr:row>731</xdr:row>
      <xdr:rowOff>34615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xmlns="" id="{00000000-0008-0000-00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4112647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731</xdr:row>
      <xdr:rowOff>56029</xdr:rowOff>
    </xdr:from>
    <xdr:to>
      <xdr:col>0</xdr:col>
      <xdr:colOff>1470794</xdr:colOff>
      <xdr:row>732</xdr:row>
      <xdr:rowOff>34614</xdr:rowOff>
    </xdr:to>
    <xdr:pic>
      <xdr:nvPicPr>
        <xdr:cNvPr id="998" name="Рисунок 997">
          <a:extLst>
            <a:ext uri="{FF2B5EF4-FFF2-40B4-BE49-F238E27FC236}">
              <a16:creationId xmlns:a16="http://schemas.microsoft.com/office/drawing/2014/main" xmlns="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4616911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733</xdr:row>
      <xdr:rowOff>56029</xdr:rowOff>
    </xdr:from>
    <xdr:to>
      <xdr:col>0</xdr:col>
      <xdr:colOff>1470794</xdr:colOff>
      <xdr:row>734</xdr:row>
      <xdr:rowOff>34615</xdr:rowOff>
    </xdr:to>
    <xdr:pic>
      <xdr:nvPicPr>
        <xdr:cNvPr id="999" name="Рисунок 998">
          <a:extLst>
            <a:ext uri="{FF2B5EF4-FFF2-40B4-BE49-F238E27FC236}">
              <a16:creationId xmlns:a16="http://schemas.microsoft.com/office/drawing/2014/main" xmlns="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5625441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732</xdr:row>
      <xdr:rowOff>56029</xdr:rowOff>
    </xdr:from>
    <xdr:to>
      <xdr:col>0</xdr:col>
      <xdr:colOff>1470794</xdr:colOff>
      <xdr:row>733</xdr:row>
      <xdr:rowOff>34614</xdr:rowOff>
    </xdr:to>
    <xdr:pic>
      <xdr:nvPicPr>
        <xdr:cNvPr id="1000" name="Рисунок 999">
          <a:extLst>
            <a:ext uri="{FF2B5EF4-FFF2-40B4-BE49-F238E27FC236}">
              <a16:creationId xmlns:a16="http://schemas.microsoft.com/office/drawing/2014/main" xmlns="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5121176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734</xdr:row>
      <xdr:rowOff>56029</xdr:rowOff>
    </xdr:from>
    <xdr:to>
      <xdr:col>0</xdr:col>
      <xdr:colOff>1470794</xdr:colOff>
      <xdr:row>735</xdr:row>
      <xdr:rowOff>34614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xmlns="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6129705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735</xdr:row>
      <xdr:rowOff>56029</xdr:rowOff>
    </xdr:from>
    <xdr:to>
      <xdr:col>0</xdr:col>
      <xdr:colOff>1470794</xdr:colOff>
      <xdr:row>736</xdr:row>
      <xdr:rowOff>34614</xdr:rowOff>
    </xdr:to>
    <xdr:pic>
      <xdr:nvPicPr>
        <xdr:cNvPr id="1002" name="Рисунок 1001">
          <a:extLst>
            <a:ext uri="{FF2B5EF4-FFF2-40B4-BE49-F238E27FC236}">
              <a16:creationId xmlns:a16="http://schemas.microsoft.com/office/drawing/2014/main" xmlns="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6633970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736</xdr:row>
      <xdr:rowOff>56029</xdr:rowOff>
    </xdr:from>
    <xdr:to>
      <xdr:col>0</xdr:col>
      <xdr:colOff>1470794</xdr:colOff>
      <xdr:row>737</xdr:row>
      <xdr:rowOff>34614</xdr:rowOff>
    </xdr:to>
    <xdr:pic>
      <xdr:nvPicPr>
        <xdr:cNvPr id="1003" name="Рисунок 1002">
          <a:extLst>
            <a:ext uri="{FF2B5EF4-FFF2-40B4-BE49-F238E27FC236}">
              <a16:creationId xmlns:a16="http://schemas.microsoft.com/office/drawing/2014/main" xmlns="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7138235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737</xdr:row>
      <xdr:rowOff>56029</xdr:rowOff>
    </xdr:from>
    <xdr:to>
      <xdr:col>0</xdr:col>
      <xdr:colOff>1470794</xdr:colOff>
      <xdr:row>738</xdr:row>
      <xdr:rowOff>34615</xdr:rowOff>
    </xdr:to>
    <xdr:pic>
      <xdr:nvPicPr>
        <xdr:cNvPr id="1004" name="Рисунок 1003">
          <a:extLst>
            <a:ext uri="{FF2B5EF4-FFF2-40B4-BE49-F238E27FC236}">
              <a16:creationId xmlns:a16="http://schemas.microsoft.com/office/drawing/2014/main" xmlns="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7642500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738</xdr:row>
      <xdr:rowOff>56029</xdr:rowOff>
    </xdr:from>
    <xdr:to>
      <xdr:col>0</xdr:col>
      <xdr:colOff>1470794</xdr:colOff>
      <xdr:row>739</xdr:row>
      <xdr:rowOff>34614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xmlns="" id="{00000000-0008-0000-00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8146764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739</xdr:row>
      <xdr:rowOff>56029</xdr:rowOff>
    </xdr:from>
    <xdr:to>
      <xdr:col>0</xdr:col>
      <xdr:colOff>1470794</xdr:colOff>
      <xdr:row>740</xdr:row>
      <xdr:rowOff>34614</xdr:rowOff>
    </xdr:to>
    <xdr:pic>
      <xdr:nvPicPr>
        <xdr:cNvPr id="1006" name="Рисунок 1005">
          <a:extLst>
            <a:ext uri="{FF2B5EF4-FFF2-40B4-BE49-F238E27FC236}">
              <a16:creationId xmlns:a16="http://schemas.microsoft.com/office/drawing/2014/main" xmlns="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8651029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741</xdr:row>
      <xdr:rowOff>56029</xdr:rowOff>
    </xdr:from>
    <xdr:to>
      <xdr:col>0</xdr:col>
      <xdr:colOff>1470794</xdr:colOff>
      <xdr:row>742</xdr:row>
      <xdr:rowOff>34614</xdr:rowOff>
    </xdr:to>
    <xdr:pic>
      <xdr:nvPicPr>
        <xdr:cNvPr id="1007" name="Рисунок 1006">
          <a:extLst>
            <a:ext uri="{FF2B5EF4-FFF2-40B4-BE49-F238E27FC236}">
              <a16:creationId xmlns:a16="http://schemas.microsoft.com/office/drawing/2014/main" xmlns="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9659558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740</xdr:row>
      <xdr:rowOff>56029</xdr:rowOff>
    </xdr:from>
    <xdr:to>
      <xdr:col>0</xdr:col>
      <xdr:colOff>1470794</xdr:colOff>
      <xdr:row>741</xdr:row>
      <xdr:rowOff>34615</xdr:rowOff>
    </xdr:to>
    <xdr:pic>
      <xdr:nvPicPr>
        <xdr:cNvPr id="1008" name="Рисунок 1007">
          <a:extLst>
            <a:ext uri="{FF2B5EF4-FFF2-40B4-BE49-F238E27FC236}">
              <a16:creationId xmlns:a16="http://schemas.microsoft.com/office/drawing/2014/main" xmlns="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9155294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742</xdr:row>
      <xdr:rowOff>56029</xdr:rowOff>
    </xdr:from>
    <xdr:to>
      <xdr:col>0</xdr:col>
      <xdr:colOff>1470794</xdr:colOff>
      <xdr:row>743</xdr:row>
      <xdr:rowOff>34614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xmlns="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0163823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743</xdr:row>
      <xdr:rowOff>56029</xdr:rowOff>
    </xdr:from>
    <xdr:to>
      <xdr:col>0</xdr:col>
      <xdr:colOff>1470794</xdr:colOff>
      <xdr:row>744</xdr:row>
      <xdr:rowOff>34614</xdr:rowOff>
    </xdr:to>
    <xdr:pic>
      <xdr:nvPicPr>
        <xdr:cNvPr id="1010" name="Рисунок 1009">
          <a:extLst>
            <a:ext uri="{FF2B5EF4-FFF2-40B4-BE49-F238E27FC236}">
              <a16:creationId xmlns:a16="http://schemas.microsoft.com/office/drawing/2014/main" xmlns="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0668088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744</xdr:row>
      <xdr:rowOff>56029</xdr:rowOff>
    </xdr:from>
    <xdr:to>
      <xdr:col>0</xdr:col>
      <xdr:colOff>1470794</xdr:colOff>
      <xdr:row>745</xdr:row>
      <xdr:rowOff>34615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xmlns="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1172353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745</xdr:row>
      <xdr:rowOff>56029</xdr:rowOff>
    </xdr:from>
    <xdr:to>
      <xdr:col>0</xdr:col>
      <xdr:colOff>1470794</xdr:colOff>
      <xdr:row>746</xdr:row>
      <xdr:rowOff>34614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xmlns="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1676617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746</xdr:row>
      <xdr:rowOff>56029</xdr:rowOff>
    </xdr:from>
    <xdr:to>
      <xdr:col>0</xdr:col>
      <xdr:colOff>1470794</xdr:colOff>
      <xdr:row>747</xdr:row>
      <xdr:rowOff>34614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xmlns="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2180882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747</xdr:row>
      <xdr:rowOff>56029</xdr:rowOff>
    </xdr:from>
    <xdr:to>
      <xdr:col>0</xdr:col>
      <xdr:colOff>1470794</xdr:colOff>
      <xdr:row>748</xdr:row>
      <xdr:rowOff>34615</xdr:rowOff>
    </xdr:to>
    <xdr:pic>
      <xdr:nvPicPr>
        <xdr:cNvPr id="1014" name="Рисунок 1013">
          <a:extLst>
            <a:ext uri="{FF2B5EF4-FFF2-40B4-BE49-F238E27FC236}">
              <a16:creationId xmlns:a16="http://schemas.microsoft.com/office/drawing/2014/main" xmlns="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2685147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749</xdr:row>
      <xdr:rowOff>56029</xdr:rowOff>
    </xdr:from>
    <xdr:to>
      <xdr:col>0</xdr:col>
      <xdr:colOff>1470794</xdr:colOff>
      <xdr:row>750</xdr:row>
      <xdr:rowOff>34614</xdr:rowOff>
    </xdr:to>
    <xdr:pic>
      <xdr:nvPicPr>
        <xdr:cNvPr id="1015" name="Рисунок 1014">
          <a:extLst>
            <a:ext uri="{FF2B5EF4-FFF2-40B4-BE49-F238E27FC236}">
              <a16:creationId xmlns:a16="http://schemas.microsoft.com/office/drawing/2014/main" xmlns="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3693676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748</xdr:row>
      <xdr:rowOff>56029</xdr:rowOff>
    </xdr:from>
    <xdr:to>
      <xdr:col>0</xdr:col>
      <xdr:colOff>1470794</xdr:colOff>
      <xdr:row>749</xdr:row>
      <xdr:rowOff>34614</xdr:rowOff>
    </xdr:to>
    <xdr:pic>
      <xdr:nvPicPr>
        <xdr:cNvPr id="1016" name="Рисунок 1015">
          <a:extLst>
            <a:ext uri="{FF2B5EF4-FFF2-40B4-BE49-F238E27FC236}">
              <a16:creationId xmlns:a16="http://schemas.microsoft.com/office/drawing/2014/main" xmlns="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3189411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750</xdr:row>
      <xdr:rowOff>56029</xdr:rowOff>
    </xdr:from>
    <xdr:to>
      <xdr:col>0</xdr:col>
      <xdr:colOff>1470794</xdr:colOff>
      <xdr:row>751</xdr:row>
      <xdr:rowOff>34615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xmlns="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4197941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751</xdr:row>
      <xdr:rowOff>56029</xdr:rowOff>
    </xdr:from>
    <xdr:to>
      <xdr:col>0</xdr:col>
      <xdr:colOff>1470794</xdr:colOff>
      <xdr:row>752</xdr:row>
      <xdr:rowOff>34614</xdr:rowOff>
    </xdr:to>
    <xdr:pic>
      <xdr:nvPicPr>
        <xdr:cNvPr id="1018" name="Рисунок 1017">
          <a:extLst>
            <a:ext uri="{FF2B5EF4-FFF2-40B4-BE49-F238E27FC236}">
              <a16:creationId xmlns:a16="http://schemas.microsoft.com/office/drawing/2014/main" xmlns="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4702205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752</xdr:row>
      <xdr:rowOff>56029</xdr:rowOff>
    </xdr:from>
    <xdr:to>
      <xdr:col>0</xdr:col>
      <xdr:colOff>1470794</xdr:colOff>
      <xdr:row>753</xdr:row>
      <xdr:rowOff>34614</xdr:rowOff>
    </xdr:to>
    <xdr:pic>
      <xdr:nvPicPr>
        <xdr:cNvPr id="1019" name="Рисунок 1018">
          <a:extLst>
            <a:ext uri="{FF2B5EF4-FFF2-40B4-BE49-F238E27FC236}">
              <a16:creationId xmlns:a16="http://schemas.microsoft.com/office/drawing/2014/main" xmlns="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5206470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753</xdr:row>
      <xdr:rowOff>56029</xdr:rowOff>
    </xdr:from>
    <xdr:to>
      <xdr:col>0</xdr:col>
      <xdr:colOff>1470794</xdr:colOff>
      <xdr:row>754</xdr:row>
      <xdr:rowOff>34614</xdr:rowOff>
    </xdr:to>
    <xdr:pic>
      <xdr:nvPicPr>
        <xdr:cNvPr id="1020" name="Рисунок 1019">
          <a:extLst>
            <a:ext uri="{FF2B5EF4-FFF2-40B4-BE49-F238E27FC236}">
              <a16:creationId xmlns:a16="http://schemas.microsoft.com/office/drawing/2014/main" xmlns="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5710735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754</xdr:row>
      <xdr:rowOff>56029</xdr:rowOff>
    </xdr:from>
    <xdr:to>
      <xdr:col>0</xdr:col>
      <xdr:colOff>1470794</xdr:colOff>
      <xdr:row>755</xdr:row>
      <xdr:rowOff>34615</xdr:rowOff>
    </xdr:to>
    <xdr:pic>
      <xdr:nvPicPr>
        <xdr:cNvPr id="1021" name="Рисунок 1020">
          <a:extLst>
            <a:ext uri="{FF2B5EF4-FFF2-40B4-BE49-F238E27FC236}">
              <a16:creationId xmlns:a16="http://schemas.microsoft.com/office/drawing/2014/main" xmlns="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6215000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755</xdr:row>
      <xdr:rowOff>56029</xdr:rowOff>
    </xdr:from>
    <xdr:to>
      <xdr:col>0</xdr:col>
      <xdr:colOff>1470794</xdr:colOff>
      <xdr:row>756</xdr:row>
      <xdr:rowOff>34614</xdr:rowOff>
    </xdr:to>
    <xdr:pic>
      <xdr:nvPicPr>
        <xdr:cNvPr id="1022" name="Рисунок 1021">
          <a:extLst>
            <a:ext uri="{FF2B5EF4-FFF2-40B4-BE49-F238E27FC236}">
              <a16:creationId xmlns:a16="http://schemas.microsoft.com/office/drawing/2014/main" xmlns="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6719264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756</xdr:row>
      <xdr:rowOff>56029</xdr:rowOff>
    </xdr:from>
    <xdr:to>
      <xdr:col>0</xdr:col>
      <xdr:colOff>1470794</xdr:colOff>
      <xdr:row>757</xdr:row>
      <xdr:rowOff>34614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xmlns="" id="{00000000-0008-0000-00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7223529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759</xdr:row>
      <xdr:rowOff>22412</xdr:rowOff>
    </xdr:from>
    <xdr:to>
      <xdr:col>0</xdr:col>
      <xdr:colOff>1358735</xdr:colOff>
      <xdr:row>760</xdr:row>
      <xdr:rowOff>997</xdr:rowOff>
    </xdr:to>
    <xdr:pic>
      <xdr:nvPicPr>
        <xdr:cNvPr id="1025" name="Рисунок 1024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396542559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760</xdr:row>
      <xdr:rowOff>22412</xdr:rowOff>
    </xdr:from>
    <xdr:to>
      <xdr:col>0</xdr:col>
      <xdr:colOff>1358735</xdr:colOff>
      <xdr:row>761</xdr:row>
      <xdr:rowOff>997</xdr:rowOff>
    </xdr:to>
    <xdr:pic>
      <xdr:nvPicPr>
        <xdr:cNvPr id="1026" name="Рисунок 1025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397046824"/>
          <a:ext cx="720000" cy="482849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761</xdr:row>
      <xdr:rowOff>22412</xdr:rowOff>
    </xdr:from>
    <xdr:to>
      <xdr:col>0</xdr:col>
      <xdr:colOff>1358735</xdr:colOff>
      <xdr:row>762</xdr:row>
      <xdr:rowOff>998</xdr:rowOff>
    </xdr:to>
    <xdr:pic>
      <xdr:nvPicPr>
        <xdr:cNvPr id="1027" name="Рисунок 1026">
          <a:extLst>
            <a:ext uri="{FF2B5EF4-FFF2-40B4-BE49-F238E27FC236}">
              <a16:creationId xmlns:a16="http://schemas.microsoft.com/office/drawing/2014/main" xmlns="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397551088"/>
          <a:ext cx="720000" cy="482851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783</xdr:row>
      <xdr:rowOff>0</xdr:rowOff>
    </xdr:from>
    <xdr:to>
      <xdr:col>0</xdr:col>
      <xdr:colOff>1358735</xdr:colOff>
      <xdr:row>783</xdr:row>
      <xdr:rowOff>501900</xdr:rowOff>
    </xdr:to>
    <xdr:pic>
      <xdr:nvPicPr>
        <xdr:cNvPr id="1028" name="Рисунок 1027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86225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784</xdr:row>
      <xdr:rowOff>22412</xdr:rowOff>
    </xdr:from>
    <xdr:to>
      <xdr:col>0</xdr:col>
      <xdr:colOff>1358735</xdr:colOff>
      <xdr:row>785</xdr:row>
      <xdr:rowOff>998</xdr:rowOff>
    </xdr:to>
    <xdr:pic>
      <xdr:nvPicPr>
        <xdr:cNvPr id="1029" name="Рисунок 1028">
          <a:extLst>
            <a:ext uri="{FF2B5EF4-FFF2-40B4-BE49-F238E27FC236}">
              <a16:creationId xmlns:a16="http://schemas.microsoft.com/office/drawing/2014/main" xmlns="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9149177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785</xdr:row>
      <xdr:rowOff>0</xdr:rowOff>
    </xdr:from>
    <xdr:to>
      <xdr:col>0</xdr:col>
      <xdr:colOff>1358735</xdr:colOff>
      <xdr:row>785</xdr:row>
      <xdr:rowOff>501900</xdr:rowOff>
    </xdr:to>
    <xdr:pic>
      <xdr:nvPicPr>
        <xdr:cNvPr id="1030" name="Рисунок 1029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963102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762</xdr:row>
      <xdr:rowOff>0</xdr:rowOff>
    </xdr:from>
    <xdr:to>
      <xdr:col>0</xdr:col>
      <xdr:colOff>1358735</xdr:colOff>
      <xdr:row>762</xdr:row>
      <xdr:rowOff>501900</xdr:rowOff>
    </xdr:to>
    <xdr:pic>
      <xdr:nvPicPr>
        <xdr:cNvPr id="1031" name="Рисунок 1030">
          <a:extLst>
            <a:ext uri="{FF2B5EF4-FFF2-40B4-BE49-F238E27FC236}">
              <a16:creationId xmlns:a16="http://schemas.microsoft.com/office/drawing/2014/main" xmlns="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3980329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786</xdr:row>
      <xdr:rowOff>0</xdr:rowOff>
    </xdr:from>
    <xdr:to>
      <xdr:col>0</xdr:col>
      <xdr:colOff>1358735</xdr:colOff>
      <xdr:row>786</xdr:row>
      <xdr:rowOff>501900</xdr:rowOff>
    </xdr:to>
    <xdr:pic>
      <xdr:nvPicPr>
        <xdr:cNvPr id="1032" name="Рисунок 1031">
          <a:extLst>
            <a:ext uri="{FF2B5EF4-FFF2-40B4-BE49-F238E27FC236}">
              <a16:creationId xmlns:a16="http://schemas.microsoft.com/office/drawing/2014/main" xmlns="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013529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763</xdr:row>
      <xdr:rowOff>0</xdr:rowOff>
    </xdr:from>
    <xdr:to>
      <xdr:col>0</xdr:col>
      <xdr:colOff>1358735</xdr:colOff>
      <xdr:row>763</xdr:row>
      <xdr:rowOff>501900</xdr:rowOff>
    </xdr:to>
    <xdr:pic>
      <xdr:nvPicPr>
        <xdr:cNvPr id="1033" name="Рисунок 1032">
          <a:extLst>
            <a:ext uri="{FF2B5EF4-FFF2-40B4-BE49-F238E27FC236}">
              <a16:creationId xmlns:a16="http://schemas.microsoft.com/office/drawing/2014/main" xmlns="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3985372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787</xdr:row>
      <xdr:rowOff>0</xdr:rowOff>
    </xdr:from>
    <xdr:to>
      <xdr:col>0</xdr:col>
      <xdr:colOff>1358735</xdr:colOff>
      <xdr:row>787</xdr:row>
      <xdr:rowOff>501900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xmlns="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063955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764</xdr:row>
      <xdr:rowOff>0</xdr:rowOff>
    </xdr:from>
    <xdr:to>
      <xdr:col>0</xdr:col>
      <xdr:colOff>1358735</xdr:colOff>
      <xdr:row>764</xdr:row>
      <xdr:rowOff>501900</xdr:rowOff>
    </xdr:to>
    <xdr:pic>
      <xdr:nvPicPr>
        <xdr:cNvPr id="1035" name="Рисунок 1034">
          <a:extLst>
            <a:ext uri="{FF2B5EF4-FFF2-40B4-BE49-F238E27FC236}">
              <a16:creationId xmlns:a16="http://schemas.microsoft.com/office/drawing/2014/main" xmlns="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39904147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788</xdr:row>
      <xdr:rowOff>0</xdr:rowOff>
    </xdr:from>
    <xdr:to>
      <xdr:col>0</xdr:col>
      <xdr:colOff>1358735</xdr:colOff>
      <xdr:row>788</xdr:row>
      <xdr:rowOff>501900</xdr:rowOff>
    </xdr:to>
    <xdr:pic>
      <xdr:nvPicPr>
        <xdr:cNvPr id="1036" name="Рисунок 1035">
          <a:extLst>
            <a:ext uri="{FF2B5EF4-FFF2-40B4-BE49-F238E27FC236}">
              <a16:creationId xmlns:a16="http://schemas.microsoft.com/office/drawing/2014/main" xmlns="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114382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766</xdr:row>
      <xdr:rowOff>0</xdr:rowOff>
    </xdr:from>
    <xdr:to>
      <xdr:col>0</xdr:col>
      <xdr:colOff>1358735</xdr:colOff>
      <xdr:row>766</xdr:row>
      <xdr:rowOff>501900</xdr:rowOff>
    </xdr:to>
    <xdr:pic>
      <xdr:nvPicPr>
        <xdr:cNvPr id="1037" name="Рисунок 1036">
          <a:extLst>
            <a:ext uri="{FF2B5EF4-FFF2-40B4-BE49-F238E27FC236}">
              <a16:creationId xmlns:a16="http://schemas.microsoft.com/office/drawing/2014/main" xmlns="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00500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790</xdr:row>
      <xdr:rowOff>0</xdr:rowOff>
    </xdr:from>
    <xdr:to>
      <xdr:col>0</xdr:col>
      <xdr:colOff>1358735</xdr:colOff>
      <xdr:row>790</xdr:row>
      <xdr:rowOff>501900</xdr:rowOff>
    </xdr:to>
    <xdr:pic>
      <xdr:nvPicPr>
        <xdr:cNvPr id="1038" name="Рисунок 1037">
          <a:extLst>
            <a:ext uri="{FF2B5EF4-FFF2-40B4-BE49-F238E27FC236}">
              <a16:creationId xmlns:a16="http://schemas.microsoft.com/office/drawing/2014/main" xmlns="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215235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767</xdr:row>
      <xdr:rowOff>0</xdr:rowOff>
    </xdr:from>
    <xdr:to>
      <xdr:col>0</xdr:col>
      <xdr:colOff>1358735</xdr:colOff>
      <xdr:row>767</xdr:row>
      <xdr:rowOff>501900</xdr:rowOff>
    </xdr:to>
    <xdr:pic>
      <xdr:nvPicPr>
        <xdr:cNvPr id="1039" name="Рисунок 1038">
          <a:extLst>
            <a:ext uri="{FF2B5EF4-FFF2-40B4-BE49-F238E27FC236}">
              <a16:creationId xmlns:a16="http://schemas.microsoft.com/office/drawing/2014/main" xmlns="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055426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768</xdr:row>
      <xdr:rowOff>0</xdr:rowOff>
    </xdr:from>
    <xdr:to>
      <xdr:col>0</xdr:col>
      <xdr:colOff>1358735</xdr:colOff>
      <xdr:row>768</xdr:row>
      <xdr:rowOff>501900</xdr:rowOff>
    </xdr:to>
    <xdr:pic>
      <xdr:nvPicPr>
        <xdr:cNvPr id="1040" name="Рисунок 1039">
          <a:extLst>
            <a:ext uri="{FF2B5EF4-FFF2-40B4-BE49-F238E27FC236}">
              <a16:creationId xmlns:a16="http://schemas.microsoft.com/office/drawing/2014/main" xmlns="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105852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769</xdr:row>
      <xdr:rowOff>0</xdr:rowOff>
    </xdr:from>
    <xdr:to>
      <xdr:col>0</xdr:col>
      <xdr:colOff>1358735</xdr:colOff>
      <xdr:row>769</xdr:row>
      <xdr:rowOff>501900</xdr:rowOff>
    </xdr:to>
    <xdr:pic>
      <xdr:nvPicPr>
        <xdr:cNvPr id="1041" name="Рисунок 1040">
          <a:extLst>
            <a:ext uri="{FF2B5EF4-FFF2-40B4-BE49-F238E27FC236}">
              <a16:creationId xmlns:a16="http://schemas.microsoft.com/office/drawing/2014/main" xmlns="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156279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791</xdr:row>
      <xdr:rowOff>0</xdr:rowOff>
    </xdr:from>
    <xdr:to>
      <xdr:col>0</xdr:col>
      <xdr:colOff>1358735</xdr:colOff>
      <xdr:row>791</xdr:row>
      <xdr:rowOff>501900</xdr:rowOff>
    </xdr:to>
    <xdr:pic>
      <xdr:nvPicPr>
        <xdr:cNvPr id="1042" name="Рисунок 1041">
          <a:extLst>
            <a:ext uri="{FF2B5EF4-FFF2-40B4-BE49-F238E27FC236}">
              <a16:creationId xmlns:a16="http://schemas.microsoft.com/office/drawing/2014/main" xmlns="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265661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792</xdr:row>
      <xdr:rowOff>0</xdr:rowOff>
    </xdr:from>
    <xdr:to>
      <xdr:col>0</xdr:col>
      <xdr:colOff>1358735</xdr:colOff>
      <xdr:row>792</xdr:row>
      <xdr:rowOff>501900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xmlns="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316088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793</xdr:row>
      <xdr:rowOff>0</xdr:rowOff>
    </xdr:from>
    <xdr:to>
      <xdr:col>0</xdr:col>
      <xdr:colOff>1358735</xdr:colOff>
      <xdr:row>793</xdr:row>
      <xdr:rowOff>501900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xmlns="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3665147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770</xdr:row>
      <xdr:rowOff>0</xdr:rowOff>
    </xdr:from>
    <xdr:to>
      <xdr:col>0</xdr:col>
      <xdr:colOff>1358735</xdr:colOff>
      <xdr:row>770</xdr:row>
      <xdr:rowOff>501900</xdr:rowOff>
    </xdr:to>
    <xdr:pic>
      <xdr:nvPicPr>
        <xdr:cNvPr id="1045" name="Рисунок 1044">
          <a:extLst>
            <a:ext uri="{FF2B5EF4-FFF2-40B4-BE49-F238E27FC236}">
              <a16:creationId xmlns:a16="http://schemas.microsoft.com/office/drawing/2014/main" xmlns="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206705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794</xdr:row>
      <xdr:rowOff>0</xdr:rowOff>
    </xdr:from>
    <xdr:to>
      <xdr:col>0</xdr:col>
      <xdr:colOff>1358735</xdr:colOff>
      <xdr:row>794</xdr:row>
      <xdr:rowOff>501900</xdr:rowOff>
    </xdr:to>
    <xdr:pic>
      <xdr:nvPicPr>
        <xdr:cNvPr id="1046" name="Рисунок 1045">
          <a:extLst>
            <a:ext uri="{FF2B5EF4-FFF2-40B4-BE49-F238E27FC236}">
              <a16:creationId xmlns:a16="http://schemas.microsoft.com/office/drawing/2014/main" xmlns="" id="{00000000-0008-0000-00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416941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771</xdr:row>
      <xdr:rowOff>0</xdr:rowOff>
    </xdr:from>
    <xdr:to>
      <xdr:col>0</xdr:col>
      <xdr:colOff>1358735</xdr:colOff>
      <xdr:row>771</xdr:row>
      <xdr:rowOff>501900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xmlns="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257132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795</xdr:row>
      <xdr:rowOff>0</xdr:rowOff>
    </xdr:from>
    <xdr:to>
      <xdr:col>0</xdr:col>
      <xdr:colOff>1358735</xdr:colOff>
      <xdr:row>795</xdr:row>
      <xdr:rowOff>501900</xdr:rowOff>
    </xdr:to>
    <xdr:pic>
      <xdr:nvPicPr>
        <xdr:cNvPr id="1048" name="Рисунок 1047">
          <a:extLst>
            <a:ext uri="{FF2B5EF4-FFF2-40B4-BE49-F238E27FC236}">
              <a16:creationId xmlns:a16="http://schemas.microsoft.com/office/drawing/2014/main" xmlns="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467367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772</xdr:row>
      <xdr:rowOff>0</xdr:rowOff>
    </xdr:from>
    <xdr:to>
      <xdr:col>0</xdr:col>
      <xdr:colOff>1358735</xdr:colOff>
      <xdr:row>772</xdr:row>
      <xdr:rowOff>501900</xdr:rowOff>
    </xdr:to>
    <xdr:pic>
      <xdr:nvPicPr>
        <xdr:cNvPr id="1049" name="Рисунок 1048">
          <a:extLst>
            <a:ext uri="{FF2B5EF4-FFF2-40B4-BE49-F238E27FC236}">
              <a16:creationId xmlns:a16="http://schemas.microsoft.com/office/drawing/2014/main" xmlns="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30755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796</xdr:row>
      <xdr:rowOff>0</xdr:rowOff>
    </xdr:from>
    <xdr:to>
      <xdr:col>0</xdr:col>
      <xdr:colOff>1358735</xdr:colOff>
      <xdr:row>796</xdr:row>
      <xdr:rowOff>501900</xdr:rowOff>
    </xdr:to>
    <xdr:pic>
      <xdr:nvPicPr>
        <xdr:cNvPr id="1050" name="Рисунок 1049">
          <a:extLst>
            <a:ext uri="{FF2B5EF4-FFF2-40B4-BE49-F238E27FC236}">
              <a16:creationId xmlns:a16="http://schemas.microsoft.com/office/drawing/2014/main" xmlns="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51779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774</xdr:row>
      <xdr:rowOff>0</xdr:rowOff>
    </xdr:from>
    <xdr:to>
      <xdr:col>0</xdr:col>
      <xdr:colOff>1358735</xdr:colOff>
      <xdr:row>774</xdr:row>
      <xdr:rowOff>501900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xmlns="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408411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798</xdr:row>
      <xdr:rowOff>0</xdr:rowOff>
    </xdr:from>
    <xdr:to>
      <xdr:col>0</xdr:col>
      <xdr:colOff>1358735</xdr:colOff>
      <xdr:row>798</xdr:row>
      <xdr:rowOff>501900</xdr:rowOff>
    </xdr:to>
    <xdr:pic>
      <xdr:nvPicPr>
        <xdr:cNvPr id="1052" name="Рисунок 1051">
          <a:extLst>
            <a:ext uri="{FF2B5EF4-FFF2-40B4-BE49-F238E27FC236}">
              <a16:creationId xmlns:a16="http://schemas.microsoft.com/office/drawing/2014/main" xmlns="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618647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775</xdr:row>
      <xdr:rowOff>0</xdr:rowOff>
    </xdr:from>
    <xdr:to>
      <xdr:col>0</xdr:col>
      <xdr:colOff>1358735</xdr:colOff>
      <xdr:row>775</xdr:row>
      <xdr:rowOff>501900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xmlns="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458838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776</xdr:row>
      <xdr:rowOff>0</xdr:rowOff>
    </xdr:from>
    <xdr:to>
      <xdr:col>0</xdr:col>
      <xdr:colOff>1358735</xdr:colOff>
      <xdr:row>776</xdr:row>
      <xdr:rowOff>501900</xdr:rowOff>
    </xdr:to>
    <xdr:pic>
      <xdr:nvPicPr>
        <xdr:cNvPr id="1054" name="Рисунок 1053">
          <a:extLst>
            <a:ext uri="{FF2B5EF4-FFF2-40B4-BE49-F238E27FC236}">
              <a16:creationId xmlns:a16="http://schemas.microsoft.com/office/drawing/2014/main" xmlns="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5092647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777</xdr:row>
      <xdr:rowOff>0</xdr:rowOff>
    </xdr:from>
    <xdr:to>
      <xdr:col>0</xdr:col>
      <xdr:colOff>1358735</xdr:colOff>
      <xdr:row>777</xdr:row>
      <xdr:rowOff>501900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xmlns="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559691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799</xdr:row>
      <xdr:rowOff>0</xdr:rowOff>
    </xdr:from>
    <xdr:to>
      <xdr:col>0</xdr:col>
      <xdr:colOff>1358735</xdr:colOff>
      <xdr:row>799</xdr:row>
      <xdr:rowOff>501900</xdr:rowOff>
    </xdr:to>
    <xdr:pic>
      <xdr:nvPicPr>
        <xdr:cNvPr id="1056" name="Рисунок 1055">
          <a:extLst>
            <a:ext uri="{FF2B5EF4-FFF2-40B4-BE49-F238E27FC236}">
              <a16:creationId xmlns:a16="http://schemas.microsoft.com/office/drawing/2014/main" xmlns="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66907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800</xdr:row>
      <xdr:rowOff>0</xdr:rowOff>
    </xdr:from>
    <xdr:to>
      <xdr:col>0</xdr:col>
      <xdr:colOff>1358735</xdr:colOff>
      <xdr:row>800</xdr:row>
      <xdr:rowOff>501900</xdr:rowOff>
    </xdr:to>
    <xdr:pic>
      <xdr:nvPicPr>
        <xdr:cNvPr id="1057" name="Рисунок 1056">
          <a:extLst>
            <a:ext uri="{FF2B5EF4-FFF2-40B4-BE49-F238E27FC236}">
              <a16:creationId xmlns:a16="http://schemas.microsoft.com/office/drawing/2014/main" xmlns="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71950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801</xdr:row>
      <xdr:rowOff>0</xdr:rowOff>
    </xdr:from>
    <xdr:to>
      <xdr:col>0</xdr:col>
      <xdr:colOff>1358735</xdr:colOff>
      <xdr:row>801</xdr:row>
      <xdr:rowOff>501900</xdr:rowOff>
    </xdr:to>
    <xdr:pic>
      <xdr:nvPicPr>
        <xdr:cNvPr id="1058" name="Рисунок 1057">
          <a:extLst>
            <a:ext uri="{FF2B5EF4-FFF2-40B4-BE49-F238E27FC236}">
              <a16:creationId xmlns:a16="http://schemas.microsoft.com/office/drawing/2014/main" xmlns="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769926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778</xdr:row>
      <xdr:rowOff>0</xdr:rowOff>
    </xdr:from>
    <xdr:to>
      <xdr:col>0</xdr:col>
      <xdr:colOff>1358735</xdr:colOff>
      <xdr:row>778</xdr:row>
      <xdr:rowOff>501900</xdr:rowOff>
    </xdr:to>
    <xdr:pic>
      <xdr:nvPicPr>
        <xdr:cNvPr id="1059" name="Рисунок 1058">
          <a:extLst>
            <a:ext uri="{FF2B5EF4-FFF2-40B4-BE49-F238E27FC236}">
              <a16:creationId xmlns:a16="http://schemas.microsoft.com/office/drawing/2014/main" xmlns="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610117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802</xdr:row>
      <xdr:rowOff>0</xdr:rowOff>
    </xdr:from>
    <xdr:to>
      <xdr:col>0</xdr:col>
      <xdr:colOff>1358735</xdr:colOff>
      <xdr:row>802</xdr:row>
      <xdr:rowOff>501900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xmlns="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820352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779</xdr:row>
      <xdr:rowOff>0</xdr:rowOff>
    </xdr:from>
    <xdr:to>
      <xdr:col>0</xdr:col>
      <xdr:colOff>1358735</xdr:colOff>
      <xdr:row>779</xdr:row>
      <xdr:rowOff>501900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xmlns="" id="{00000000-0008-0000-00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66054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803</xdr:row>
      <xdr:rowOff>0</xdr:rowOff>
    </xdr:from>
    <xdr:to>
      <xdr:col>0</xdr:col>
      <xdr:colOff>1358735</xdr:colOff>
      <xdr:row>803</xdr:row>
      <xdr:rowOff>501900</xdr:rowOff>
    </xdr:to>
    <xdr:pic>
      <xdr:nvPicPr>
        <xdr:cNvPr id="1062" name="Рисунок 1061">
          <a:extLst>
            <a:ext uri="{FF2B5EF4-FFF2-40B4-BE49-F238E27FC236}">
              <a16:creationId xmlns:a16="http://schemas.microsoft.com/office/drawing/2014/main" xmlns="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870779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780</xdr:row>
      <xdr:rowOff>0</xdr:rowOff>
    </xdr:from>
    <xdr:to>
      <xdr:col>0</xdr:col>
      <xdr:colOff>1358735</xdr:colOff>
      <xdr:row>780</xdr:row>
      <xdr:rowOff>501900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xmlns="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71097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804</xdr:row>
      <xdr:rowOff>0</xdr:rowOff>
    </xdr:from>
    <xdr:to>
      <xdr:col>0</xdr:col>
      <xdr:colOff>1358735</xdr:colOff>
      <xdr:row>804</xdr:row>
      <xdr:rowOff>501900</xdr:rowOff>
    </xdr:to>
    <xdr:pic>
      <xdr:nvPicPr>
        <xdr:cNvPr id="1064" name="Рисунок 1063">
          <a:extLst>
            <a:ext uri="{FF2B5EF4-FFF2-40B4-BE49-F238E27FC236}">
              <a16:creationId xmlns:a16="http://schemas.microsoft.com/office/drawing/2014/main" xmlns="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921205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782</xdr:row>
      <xdr:rowOff>0</xdr:rowOff>
    </xdr:from>
    <xdr:to>
      <xdr:col>0</xdr:col>
      <xdr:colOff>1358735</xdr:colOff>
      <xdr:row>782</xdr:row>
      <xdr:rowOff>501900</xdr:rowOff>
    </xdr:to>
    <xdr:pic>
      <xdr:nvPicPr>
        <xdr:cNvPr id="1065" name="Рисунок 1064">
          <a:extLst>
            <a:ext uri="{FF2B5EF4-FFF2-40B4-BE49-F238E27FC236}">
              <a16:creationId xmlns:a16="http://schemas.microsoft.com/office/drawing/2014/main" xmlns="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81182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806</xdr:row>
      <xdr:rowOff>0</xdr:rowOff>
    </xdr:from>
    <xdr:to>
      <xdr:col>0</xdr:col>
      <xdr:colOff>1358735</xdr:colOff>
      <xdr:row>806</xdr:row>
      <xdr:rowOff>501900</xdr:rowOff>
    </xdr:to>
    <xdr:pic>
      <xdr:nvPicPr>
        <xdr:cNvPr id="1066" name="Рисунок 1065">
          <a:extLst>
            <a:ext uri="{FF2B5EF4-FFF2-40B4-BE49-F238E27FC236}">
              <a16:creationId xmlns:a16="http://schemas.microsoft.com/office/drawing/2014/main" xmlns="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02205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813</xdr:row>
      <xdr:rowOff>0</xdr:rowOff>
    </xdr:from>
    <xdr:to>
      <xdr:col>0</xdr:col>
      <xdr:colOff>1358735</xdr:colOff>
      <xdr:row>813</xdr:row>
      <xdr:rowOff>501900</xdr:rowOff>
    </xdr:to>
    <xdr:pic>
      <xdr:nvPicPr>
        <xdr:cNvPr id="1067" name="Рисунок 1066">
          <a:extLst>
            <a:ext uri="{FF2B5EF4-FFF2-40B4-BE49-F238E27FC236}">
              <a16:creationId xmlns:a16="http://schemas.microsoft.com/office/drawing/2014/main" xmlns="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37504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814</xdr:row>
      <xdr:rowOff>0</xdr:rowOff>
    </xdr:from>
    <xdr:to>
      <xdr:col>0</xdr:col>
      <xdr:colOff>1358735</xdr:colOff>
      <xdr:row>814</xdr:row>
      <xdr:rowOff>501900</xdr:rowOff>
    </xdr:to>
    <xdr:pic>
      <xdr:nvPicPr>
        <xdr:cNvPr id="1068" name="Рисунок 1067">
          <a:extLst>
            <a:ext uri="{FF2B5EF4-FFF2-40B4-BE49-F238E27FC236}">
              <a16:creationId xmlns:a16="http://schemas.microsoft.com/office/drawing/2014/main" xmlns="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42547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815</xdr:row>
      <xdr:rowOff>0</xdr:rowOff>
    </xdr:from>
    <xdr:to>
      <xdr:col>0</xdr:col>
      <xdr:colOff>1358735</xdr:colOff>
      <xdr:row>815</xdr:row>
      <xdr:rowOff>501900</xdr:rowOff>
    </xdr:to>
    <xdr:pic>
      <xdr:nvPicPr>
        <xdr:cNvPr id="1069" name="Рисунок 1068">
          <a:extLst>
            <a:ext uri="{FF2B5EF4-FFF2-40B4-BE49-F238E27FC236}">
              <a16:creationId xmlns:a16="http://schemas.microsoft.com/office/drawing/2014/main" xmlns="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475897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816</xdr:row>
      <xdr:rowOff>0</xdr:rowOff>
    </xdr:from>
    <xdr:to>
      <xdr:col>0</xdr:col>
      <xdr:colOff>1358735</xdr:colOff>
      <xdr:row>816</xdr:row>
      <xdr:rowOff>501900</xdr:rowOff>
    </xdr:to>
    <xdr:pic>
      <xdr:nvPicPr>
        <xdr:cNvPr id="1070" name="Рисунок 1069">
          <a:extLst>
            <a:ext uri="{FF2B5EF4-FFF2-40B4-BE49-F238E27FC236}">
              <a16:creationId xmlns:a16="http://schemas.microsoft.com/office/drawing/2014/main" xmlns="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52632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817</xdr:row>
      <xdr:rowOff>0</xdr:rowOff>
    </xdr:from>
    <xdr:to>
      <xdr:col>0</xdr:col>
      <xdr:colOff>1358735</xdr:colOff>
      <xdr:row>817</xdr:row>
      <xdr:rowOff>501900</xdr:rowOff>
    </xdr:to>
    <xdr:pic>
      <xdr:nvPicPr>
        <xdr:cNvPr id="1071" name="Рисунок 1070">
          <a:extLst>
            <a:ext uri="{FF2B5EF4-FFF2-40B4-BE49-F238E27FC236}">
              <a16:creationId xmlns:a16="http://schemas.microsoft.com/office/drawing/2014/main" xmlns="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57675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818</xdr:row>
      <xdr:rowOff>0</xdr:rowOff>
    </xdr:from>
    <xdr:to>
      <xdr:col>0</xdr:col>
      <xdr:colOff>1358735</xdr:colOff>
      <xdr:row>818</xdr:row>
      <xdr:rowOff>501900</xdr:rowOff>
    </xdr:to>
    <xdr:pic>
      <xdr:nvPicPr>
        <xdr:cNvPr id="1072" name="Рисунок 1071">
          <a:extLst>
            <a:ext uri="{FF2B5EF4-FFF2-40B4-BE49-F238E27FC236}">
              <a16:creationId xmlns:a16="http://schemas.microsoft.com/office/drawing/2014/main" xmlns="" id="{00000000-0008-0000-00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627176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819</xdr:row>
      <xdr:rowOff>0</xdr:rowOff>
    </xdr:from>
    <xdr:to>
      <xdr:col>0</xdr:col>
      <xdr:colOff>1358735</xdr:colOff>
      <xdr:row>819</xdr:row>
      <xdr:rowOff>501900</xdr:rowOff>
    </xdr:to>
    <xdr:pic>
      <xdr:nvPicPr>
        <xdr:cNvPr id="1073" name="Рисунок 1072">
          <a:extLst>
            <a:ext uri="{FF2B5EF4-FFF2-40B4-BE49-F238E27FC236}">
              <a16:creationId xmlns:a16="http://schemas.microsoft.com/office/drawing/2014/main" xmlns="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821038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765</xdr:row>
      <xdr:rowOff>0</xdr:rowOff>
    </xdr:from>
    <xdr:to>
      <xdr:col>0</xdr:col>
      <xdr:colOff>1358735</xdr:colOff>
      <xdr:row>765</xdr:row>
      <xdr:rowOff>501900</xdr:rowOff>
    </xdr:to>
    <xdr:pic>
      <xdr:nvPicPr>
        <xdr:cNvPr id="1074" name="Рисунок 1073">
          <a:extLst>
            <a:ext uri="{FF2B5EF4-FFF2-40B4-BE49-F238E27FC236}">
              <a16:creationId xmlns:a16="http://schemas.microsoft.com/office/drawing/2014/main" xmlns="" id="{00000000-0008-0000-00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3995457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789</xdr:row>
      <xdr:rowOff>0</xdr:rowOff>
    </xdr:from>
    <xdr:to>
      <xdr:col>0</xdr:col>
      <xdr:colOff>1358735</xdr:colOff>
      <xdr:row>789</xdr:row>
      <xdr:rowOff>501900</xdr:rowOff>
    </xdr:to>
    <xdr:pic>
      <xdr:nvPicPr>
        <xdr:cNvPr id="1075" name="Рисунок 1074">
          <a:extLst>
            <a:ext uri="{FF2B5EF4-FFF2-40B4-BE49-F238E27FC236}">
              <a16:creationId xmlns:a16="http://schemas.microsoft.com/office/drawing/2014/main" xmlns="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16480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773</xdr:row>
      <xdr:rowOff>0</xdr:rowOff>
    </xdr:from>
    <xdr:to>
      <xdr:col>0</xdr:col>
      <xdr:colOff>1358735</xdr:colOff>
      <xdr:row>773</xdr:row>
      <xdr:rowOff>501900</xdr:rowOff>
    </xdr:to>
    <xdr:pic>
      <xdr:nvPicPr>
        <xdr:cNvPr id="1076" name="Рисунок 1075">
          <a:extLst>
            <a:ext uri="{FF2B5EF4-FFF2-40B4-BE49-F238E27FC236}">
              <a16:creationId xmlns:a16="http://schemas.microsoft.com/office/drawing/2014/main" xmlns="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357985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797</xdr:row>
      <xdr:rowOff>0</xdr:rowOff>
    </xdr:from>
    <xdr:to>
      <xdr:col>0</xdr:col>
      <xdr:colOff>1358735</xdr:colOff>
      <xdr:row>797</xdr:row>
      <xdr:rowOff>501900</xdr:rowOff>
    </xdr:to>
    <xdr:pic>
      <xdr:nvPicPr>
        <xdr:cNvPr id="1077" name="Рисунок 1076">
          <a:extLst>
            <a:ext uri="{FF2B5EF4-FFF2-40B4-BE49-F238E27FC236}">
              <a16:creationId xmlns:a16="http://schemas.microsoft.com/office/drawing/2014/main" xmlns="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56822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781</xdr:row>
      <xdr:rowOff>0</xdr:rowOff>
    </xdr:from>
    <xdr:to>
      <xdr:col>0</xdr:col>
      <xdr:colOff>1358735</xdr:colOff>
      <xdr:row>781</xdr:row>
      <xdr:rowOff>501900</xdr:rowOff>
    </xdr:to>
    <xdr:pic>
      <xdr:nvPicPr>
        <xdr:cNvPr id="1078" name="Рисунок 1077">
          <a:extLst>
            <a:ext uri="{FF2B5EF4-FFF2-40B4-BE49-F238E27FC236}">
              <a16:creationId xmlns:a16="http://schemas.microsoft.com/office/drawing/2014/main" xmlns="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0761397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805</xdr:row>
      <xdr:rowOff>0</xdr:rowOff>
    </xdr:from>
    <xdr:to>
      <xdr:col>0</xdr:col>
      <xdr:colOff>1358735</xdr:colOff>
      <xdr:row>805</xdr:row>
      <xdr:rowOff>501900</xdr:rowOff>
    </xdr:to>
    <xdr:pic>
      <xdr:nvPicPr>
        <xdr:cNvPr id="1079" name="Рисунок 1078">
          <a:extLst>
            <a:ext uri="{FF2B5EF4-FFF2-40B4-BE49-F238E27FC236}">
              <a16:creationId xmlns:a16="http://schemas.microsoft.com/office/drawing/2014/main" xmlns="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1971632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714935</xdr:colOff>
      <xdr:row>809</xdr:row>
      <xdr:rowOff>9525</xdr:rowOff>
    </xdr:from>
    <xdr:to>
      <xdr:col>0</xdr:col>
      <xdr:colOff>1434935</xdr:colOff>
      <xdr:row>810</xdr:row>
      <xdr:rowOff>6600</xdr:rowOff>
    </xdr:to>
    <xdr:pic>
      <xdr:nvPicPr>
        <xdr:cNvPr id="1080" name="Рисунок 1079">
          <a:extLst>
            <a:ext uri="{FF2B5EF4-FFF2-40B4-BE49-F238E27FC236}">
              <a16:creationId xmlns:a16="http://schemas.microsoft.com/office/drawing/2014/main" xmlns="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" y="421742907"/>
          <a:ext cx="720000" cy="501340"/>
        </a:xfrm>
        <a:prstGeom prst="rect">
          <a:avLst/>
        </a:prstGeom>
      </xdr:spPr>
    </xdr:pic>
    <xdr:clientData/>
  </xdr:twoCellAnchor>
  <xdr:twoCellAnchor>
    <xdr:from>
      <xdr:col>0</xdr:col>
      <xdr:colOff>676835</xdr:colOff>
      <xdr:row>811</xdr:row>
      <xdr:rowOff>0</xdr:rowOff>
    </xdr:from>
    <xdr:to>
      <xdr:col>0</xdr:col>
      <xdr:colOff>1396835</xdr:colOff>
      <xdr:row>811</xdr:row>
      <xdr:rowOff>501900</xdr:rowOff>
    </xdr:to>
    <xdr:pic>
      <xdr:nvPicPr>
        <xdr:cNvPr id="1081" name="Рисунок 1080">
          <a:extLst>
            <a:ext uri="{FF2B5EF4-FFF2-40B4-BE49-F238E27FC236}">
              <a16:creationId xmlns:a16="http://schemas.microsoft.com/office/drawing/2014/main" xmlns="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35" y="42274191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695885</xdr:colOff>
      <xdr:row>812</xdr:row>
      <xdr:rowOff>0</xdr:rowOff>
    </xdr:from>
    <xdr:to>
      <xdr:col>0</xdr:col>
      <xdr:colOff>1415885</xdr:colOff>
      <xdr:row>812</xdr:row>
      <xdr:rowOff>501900</xdr:rowOff>
    </xdr:to>
    <xdr:pic>
      <xdr:nvPicPr>
        <xdr:cNvPr id="1082" name="Рисунок 1081">
          <a:extLst>
            <a:ext uri="{FF2B5EF4-FFF2-40B4-BE49-F238E27FC236}">
              <a16:creationId xmlns:a16="http://schemas.microsoft.com/office/drawing/2014/main" xmlns="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885" y="42324617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724460</xdr:colOff>
      <xdr:row>808</xdr:row>
      <xdr:rowOff>9525</xdr:rowOff>
    </xdr:from>
    <xdr:to>
      <xdr:col>0</xdr:col>
      <xdr:colOff>1444460</xdr:colOff>
      <xdr:row>809</xdr:row>
      <xdr:rowOff>6600</xdr:rowOff>
    </xdr:to>
    <xdr:pic>
      <xdr:nvPicPr>
        <xdr:cNvPr id="1083" name="Рисунок 1082">
          <a:extLst>
            <a:ext uri="{FF2B5EF4-FFF2-40B4-BE49-F238E27FC236}">
              <a16:creationId xmlns:a16="http://schemas.microsoft.com/office/drawing/2014/main" xmlns="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460" y="421238643"/>
          <a:ext cx="720000" cy="501339"/>
        </a:xfrm>
        <a:prstGeom prst="rect">
          <a:avLst/>
        </a:prstGeom>
      </xdr:spPr>
    </xdr:pic>
    <xdr:clientData/>
  </xdr:twoCellAnchor>
  <xdr:twoCellAnchor>
    <xdr:from>
      <xdr:col>0</xdr:col>
      <xdr:colOff>705410</xdr:colOff>
      <xdr:row>807</xdr:row>
      <xdr:rowOff>0</xdr:rowOff>
    </xdr:from>
    <xdr:to>
      <xdr:col>0</xdr:col>
      <xdr:colOff>1425410</xdr:colOff>
      <xdr:row>807</xdr:row>
      <xdr:rowOff>501900</xdr:rowOff>
    </xdr:to>
    <xdr:pic>
      <xdr:nvPicPr>
        <xdr:cNvPr id="1084" name="Рисунок 1083">
          <a:extLst>
            <a:ext uri="{FF2B5EF4-FFF2-40B4-BE49-F238E27FC236}">
              <a16:creationId xmlns:a16="http://schemas.microsoft.com/office/drawing/2014/main" xmlns="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10" y="42072485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695885</xdr:colOff>
      <xdr:row>810</xdr:row>
      <xdr:rowOff>19050</xdr:rowOff>
    </xdr:from>
    <xdr:to>
      <xdr:col>0</xdr:col>
      <xdr:colOff>1415885</xdr:colOff>
      <xdr:row>811</xdr:row>
      <xdr:rowOff>16125</xdr:rowOff>
    </xdr:to>
    <xdr:pic>
      <xdr:nvPicPr>
        <xdr:cNvPr id="1085" name="Рисунок 1084">
          <a:extLst>
            <a:ext uri="{FF2B5EF4-FFF2-40B4-BE49-F238E27FC236}">
              <a16:creationId xmlns:a16="http://schemas.microsoft.com/office/drawing/2014/main" xmlns="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885" y="422256697"/>
          <a:ext cx="720000" cy="50134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822</xdr:row>
      <xdr:rowOff>0</xdr:rowOff>
    </xdr:from>
    <xdr:to>
      <xdr:col>0</xdr:col>
      <xdr:colOff>1358735</xdr:colOff>
      <xdr:row>822</xdr:row>
      <xdr:rowOff>501900</xdr:rowOff>
    </xdr:to>
    <xdr:pic>
      <xdr:nvPicPr>
        <xdr:cNvPr id="1087" name="Рисунок 1086">
          <a:extLst>
            <a:ext uri="{FF2B5EF4-FFF2-40B4-BE49-F238E27FC236}">
              <a16:creationId xmlns:a16="http://schemas.microsoft.com/office/drawing/2014/main" xmlns="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828882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823</xdr:row>
      <xdr:rowOff>0</xdr:rowOff>
    </xdr:from>
    <xdr:to>
      <xdr:col>0</xdr:col>
      <xdr:colOff>1358735</xdr:colOff>
      <xdr:row>823</xdr:row>
      <xdr:rowOff>501900</xdr:rowOff>
    </xdr:to>
    <xdr:pic>
      <xdr:nvPicPr>
        <xdr:cNvPr id="1088" name="Рисунок 1087">
          <a:extLst>
            <a:ext uri="{FF2B5EF4-FFF2-40B4-BE49-F238E27FC236}">
              <a16:creationId xmlns:a16="http://schemas.microsoft.com/office/drawing/2014/main" xmlns="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87930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824</xdr:row>
      <xdr:rowOff>0</xdr:rowOff>
    </xdr:from>
    <xdr:to>
      <xdr:col>0</xdr:col>
      <xdr:colOff>1358735</xdr:colOff>
      <xdr:row>824</xdr:row>
      <xdr:rowOff>501900</xdr:rowOff>
    </xdr:to>
    <xdr:pic>
      <xdr:nvPicPr>
        <xdr:cNvPr id="1089" name="Рисунок 1088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929735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825</xdr:row>
      <xdr:rowOff>0</xdr:rowOff>
    </xdr:from>
    <xdr:to>
      <xdr:col>0</xdr:col>
      <xdr:colOff>1358735</xdr:colOff>
      <xdr:row>825</xdr:row>
      <xdr:rowOff>501900</xdr:rowOff>
    </xdr:to>
    <xdr:pic>
      <xdr:nvPicPr>
        <xdr:cNvPr id="1090" name="Рисунок 1089">
          <a:extLst>
            <a:ext uri="{FF2B5EF4-FFF2-40B4-BE49-F238E27FC236}">
              <a16:creationId xmlns:a16="http://schemas.microsoft.com/office/drawing/2014/main" xmlns="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980161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826</xdr:row>
      <xdr:rowOff>0</xdr:rowOff>
    </xdr:from>
    <xdr:to>
      <xdr:col>0</xdr:col>
      <xdr:colOff>1358735</xdr:colOff>
      <xdr:row>826</xdr:row>
      <xdr:rowOff>501900</xdr:rowOff>
    </xdr:to>
    <xdr:pic>
      <xdr:nvPicPr>
        <xdr:cNvPr id="1091" name="Рисунок 1090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030588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827</xdr:row>
      <xdr:rowOff>0</xdr:rowOff>
    </xdr:from>
    <xdr:to>
      <xdr:col>0</xdr:col>
      <xdr:colOff>1358735</xdr:colOff>
      <xdr:row>827</xdr:row>
      <xdr:rowOff>501900</xdr:rowOff>
    </xdr:to>
    <xdr:pic>
      <xdr:nvPicPr>
        <xdr:cNvPr id="1092" name="Рисунок 1091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0810147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828</xdr:row>
      <xdr:rowOff>0</xdr:rowOff>
    </xdr:from>
    <xdr:to>
      <xdr:col>0</xdr:col>
      <xdr:colOff>1358735</xdr:colOff>
      <xdr:row>828</xdr:row>
      <xdr:rowOff>501900</xdr:rowOff>
    </xdr:to>
    <xdr:pic>
      <xdr:nvPicPr>
        <xdr:cNvPr id="1093" name="Рисунок 1092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131441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830</xdr:row>
      <xdr:rowOff>0</xdr:rowOff>
    </xdr:from>
    <xdr:to>
      <xdr:col>0</xdr:col>
      <xdr:colOff>1358735</xdr:colOff>
      <xdr:row>830</xdr:row>
      <xdr:rowOff>501900</xdr:rowOff>
    </xdr:to>
    <xdr:pic>
      <xdr:nvPicPr>
        <xdr:cNvPr id="1094" name="Рисунок 1093">
          <a:extLst>
            <a:ext uri="{FF2B5EF4-FFF2-40B4-BE49-F238E27FC236}">
              <a16:creationId xmlns:a16="http://schemas.microsoft.com/office/drawing/2014/main" xmlns="" id="{00000000-0008-0000-00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23229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831</xdr:row>
      <xdr:rowOff>0</xdr:rowOff>
    </xdr:from>
    <xdr:to>
      <xdr:col>0</xdr:col>
      <xdr:colOff>1358735</xdr:colOff>
      <xdr:row>831</xdr:row>
      <xdr:rowOff>501900</xdr:rowOff>
    </xdr:to>
    <xdr:pic>
      <xdr:nvPicPr>
        <xdr:cNvPr id="1095" name="Рисунок 1094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28272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832</xdr:row>
      <xdr:rowOff>0</xdr:rowOff>
    </xdr:from>
    <xdr:to>
      <xdr:col>0</xdr:col>
      <xdr:colOff>1358735</xdr:colOff>
      <xdr:row>832</xdr:row>
      <xdr:rowOff>501900</xdr:rowOff>
    </xdr:to>
    <xdr:pic>
      <xdr:nvPicPr>
        <xdr:cNvPr id="1096" name="Рисунок 1095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333147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833</xdr:row>
      <xdr:rowOff>0</xdr:rowOff>
    </xdr:from>
    <xdr:to>
      <xdr:col>0</xdr:col>
      <xdr:colOff>1358735</xdr:colOff>
      <xdr:row>833</xdr:row>
      <xdr:rowOff>501900</xdr:rowOff>
    </xdr:to>
    <xdr:pic>
      <xdr:nvPicPr>
        <xdr:cNvPr id="1097" name="Рисунок 1096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38357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834</xdr:row>
      <xdr:rowOff>0</xdr:rowOff>
    </xdr:from>
    <xdr:to>
      <xdr:col>0</xdr:col>
      <xdr:colOff>1358735</xdr:colOff>
      <xdr:row>834</xdr:row>
      <xdr:rowOff>501900</xdr:rowOff>
    </xdr:to>
    <xdr:pic>
      <xdr:nvPicPr>
        <xdr:cNvPr id="1098" name="Рисунок 1097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43400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835</xdr:row>
      <xdr:rowOff>0</xdr:rowOff>
    </xdr:from>
    <xdr:to>
      <xdr:col>0</xdr:col>
      <xdr:colOff>1358735</xdr:colOff>
      <xdr:row>835</xdr:row>
      <xdr:rowOff>501900</xdr:rowOff>
    </xdr:to>
    <xdr:pic>
      <xdr:nvPicPr>
        <xdr:cNvPr id="1099" name="Рисунок 1098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484426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836</xdr:row>
      <xdr:rowOff>0</xdr:rowOff>
    </xdr:from>
    <xdr:to>
      <xdr:col>0</xdr:col>
      <xdr:colOff>1358735</xdr:colOff>
      <xdr:row>836</xdr:row>
      <xdr:rowOff>501900</xdr:rowOff>
    </xdr:to>
    <xdr:pic>
      <xdr:nvPicPr>
        <xdr:cNvPr id="1100" name="Рисунок 1099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534852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838</xdr:row>
      <xdr:rowOff>0</xdr:rowOff>
    </xdr:from>
    <xdr:to>
      <xdr:col>0</xdr:col>
      <xdr:colOff>1358735</xdr:colOff>
      <xdr:row>838</xdr:row>
      <xdr:rowOff>501900</xdr:rowOff>
    </xdr:to>
    <xdr:pic>
      <xdr:nvPicPr>
        <xdr:cNvPr id="1101" name="Рисунок 1100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635705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839</xdr:row>
      <xdr:rowOff>0</xdr:rowOff>
    </xdr:from>
    <xdr:to>
      <xdr:col>0</xdr:col>
      <xdr:colOff>1358735</xdr:colOff>
      <xdr:row>839</xdr:row>
      <xdr:rowOff>501900</xdr:rowOff>
    </xdr:to>
    <xdr:pic>
      <xdr:nvPicPr>
        <xdr:cNvPr id="1102" name="Рисунок 1101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686132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840</xdr:row>
      <xdr:rowOff>0</xdr:rowOff>
    </xdr:from>
    <xdr:to>
      <xdr:col>0</xdr:col>
      <xdr:colOff>1358735</xdr:colOff>
      <xdr:row>840</xdr:row>
      <xdr:rowOff>501900</xdr:rowOff>
    </xdr:to>
    <xdr:pic>
      <xdr:nvPicPr>
        <xdr:cNvPr id="1103" name="Рисунок 1102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73655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841</xdr:row>
      <xdr:rowOff>0</xdr:rowOff>
    </xdr:from>
    <xdr:to>
      <xdr:col>0</xdr:col>
      <xdr:colOff>1358735</xdr:colOff>
      <xdr:row>841</xdr:row>
      <xdr:rowOff>501900</xdr:rowOff>
    </xdr:to>
    <xdr:pic>
      <xdr:nvPicPr>
        <xdr:cNvPr id="1104" name="Рисунок 1103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786985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842</xdr:row>
      <xdr:rowOff>0</xdr:rowOff>
    </xdr:from>
    <xdr:to>
      <xdr:col>0</xdr:col>
      <xdr:colOff>1358735</xdr:colOff>
      <xdr:row>842</xdr:row>
      <xdr:rowOff>501900</xdr:rowOff>
    </xdr:to>
    <xdr:pic>
      <xdr:nvPicPr>
        <xdr:cNvPr id="1105" name="Рисунок 1104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837411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843</xdr:row>
      <xdr:rowOff>0</xdr:rowOff>
    </xdr:from>
    <xdr:to>
      <xdr:col>0</xdr:col>
      <xdr:colOff>1358735</xdr:colOff>
      <xdr:row>843</xdr:row>
      <xdr:rowOff>501900</xdr:rowOff>
    </xdr:to>
    <xdr:pic>
      <xdr:nvPicPr>
        <xdr:cNvPr id="1106" name="Рисунок 1105">
          <a:extLst>
            <a:ext uri="{FF2B5EF4-FFF2-40B4-BE49-F238E27FC236}">
              <a16:creationId xmlns:a16="http://schemas.microsoft.com/office/drawing/2014/main" xmlns="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887838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844</xdr:row>
      <xdr:rowOff>0</xdr:rowOff>
    </xdr:from>
    <xdr:to>
      <xdr:col>0</xdr:col>
      <xdr:colOff>1358735</xdr:colOff>
      <xdr:row>844</xdr:row>
      <xdr:rowOff>501900</xdr:rowOff>
    </xdr:to>
    <xdr:pic>
      <xdr:nvPicPr>
        <xdr:cNvPr id="1107" name="Рисунок 1106">
          <a:extLst>
            <a:ext uri="{FF2B5EF4-FFF2-40B4-BE49-F238E27FC236}">
              <a16:creationId xmlns:a16="http://schemas.microsoft.com/office/drawing/2014/main" xmlns="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9382647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846</xdr:row>
      <xdr:rowOff>0</xdr:rowOff>
    </xdr:from>
    <xdr:to>
      <xdr:col>0</xdr:col>
      <xdr:colOff>1358735</xdr:colOff>
      <xdr:row>846</xdr:row>
      <xdr:rowOff>501900</xdr:rowOff>
    </xdr:to>
    <xdr:pic>
      <xdr:nvPicPr>
        <xdr:cNvPr id="1108" name="Рисунок 1107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039117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847</xdr:row>
      <xdr:rowOff>0</xdr:rowOff>
    </xdr:from>
    <xdr:to>
      <xdr:col>0</xdr:col>
      <xdr:colOff>1358735</xdr:colOff>
      <xdr:row>847</xdr:row>
      <xdr:rowOff>501900</xdr:rowOff>
    </xdr:to>
    <xdr:pic>
      <xdr:nvPicPr>
        <xdr:cNvPr id="1109" name="Рисунок 1108">
          <a:extLst>
            <a:ext uri="{FF2B5EF4-FFF2-40B4-BE49-F238E27FC236}">
              <a16:creationId xmlns:a16="http://schemas.microsoft.com/office/drawing/2014/main" xmlns="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08954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848</xdr:row>
      <xdr:rowOff>0</xdr:rowOff>
    </xdr:from>
    <xdr:to>
      <xdr:col>0</xdr:col>
      <xdr:colOff>1358735</xdr:colOff>
      <xdr:row>848</xdr:row>
      <xdr:rowOff>501900</xdr:rowOff>
    </xdr:to>
    <xdr:pic>
      <xdr:nvPicPr>
        <xdr:cNvPr id="1110" name="Рисунок 1109">
          <a:extLst>
            <a:ext uri="{FF2B5EF4-FFF2-40B4-BE49-F238E27FC236}">
              <a16:creationId xmlns:a16="http://schemas.microsoft.com/office/drawing/2014/main" xmlns="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13997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849</xdr:row>
      <xdr:rowOff>0</xdr:rowOff>
    </xdr:from>
    <xdr:to>
      <xdr:col>0</xdr:col>
      <xdr:colOff>1358735</xdr:colOff>
      <xdr:row>849</xdr:row>
      <xdr:rowOff>501900</xdr:rowOff>
    </xdr:to>
    <xdr:pic>
      <xdr:nvPicPr>
        <xdr:cNvPr id="1111" name="Рисунок 1110">
          <a:extLst>
            <a:ext uri="{FF2B5EF4-FFF2-40B4-BE49-F238E27FC236}">
              <a16:creationId xmlns:a16="http://schemas.microsoft.com/office/drawing/2014/main" xmlns="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190397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850</xdr:row>
      <xdr:rowOff>0</xdr:rowOff>
    </xdr:from>
    <xdr:to>
      <xdr:col>0</xdr:col>
      <xdr:colOff>1358735</xdr:colOff>
      <xdr:row>850</xdr:row>
      <xdr:rowOff>501900</xdr:rowOff>
    </xdr:to>
    <xdr:pic>
      <xdr:nvPicPr>
        <xdr:cNvPr id="1112" name="Рисунок 1111">
          <a:extLst>
            <a:ext uri="{FF2B5EF4-FFF2-40B4-BE49-F238E27FC236}">
              <a16:creationId xmlns:a16="http://schemas.microsoft.com/office/drawing/2014/main" xmlns="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24082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851</xdr:row>
      <xdr:rowOff>0</xdr:rowOff>
    </xdr:from>
    <xdr:to>
      <xdr:col>0</xdr:col>
      <xdr:colOff>1358735</xdr:colOff>
      <xdr:row>851</xdr:row>
      <xdr:rowOff>501900</xdr:rowOff>
    </xdr:to>
    <xdr:pic>
      <xdr:nvPicPr>
        <xdr:cNvPr id="1113" name="Рисунок 1112">
          <a:extLst>
            <a:ext uri="{FF2B5EF4-FFF2-40B4-BE49-F238E27FC236}">
              <a16:creationId xmlns:a16="http://schemas.microsoft.com/office/drawing/2014/main" xmlns="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29125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852</xdr:row>
      <xdr:rowOff>0</xdr:rowOff>
    </xdr:from>
    <xdr:to>
      <xdr:col>0</xdr:col>
      <xdr:colOff>1358735</xdr:colOff>
      <xdr:row>852</xdr:row>
      <xdr:rowOff>501900</xdr:rowOff>
    </xdr:to>
    <xdr:pic>
      <xdr:nvPicPr>
        <xdr:cNvPr id="1114" name="Рисунок 1113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341676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853</xdr:row>
      <xdr:rowOff>0</xdr:rowOff>
    </xdr:from>
    <xdr:to>
      <xdr:col>0</xdr:col>
      <xdr:colOff>1358735</xdr:colOff>
      <xdr:row>853</xdr:row>
      <xdr:rowOff>501900</xdr:rowOff>
    </xdr:to>
    <xdr:pic>
      <xdr:nvPicPr>
        <xdr:cNvPr id="1115" name="Рисунок 1114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392102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854</xdr:row>
      <xdr:rowOff>0</xdr:rowOff>
    </xdr:from>
    <xdr:to>
      <xdr:col>0</xdr:col>
      <xdr:colOff>1358735</xdr:colOff>
      <xdr:row>854</xdr:row>
      <xdr:rowOff>501900</xdr:rowOff>
    </xdr:to>
    <xdr:pic>
      <xdr:nvPicPr>
        <xdr:cNvPr id="1116" name="Рисунок 1115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442529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855</xdr:row>
      <xdr:rowOff>0</xdr:rowOff>
    </xdr:from>
    <xdr:to>
      <xdr:col>0</xdr:col>
      <xdr:colOff>1358735</xdr:colOff>
      <xdr:row>855</xdr:row>
      <xdr:rowOff>501900</xdr:rowOff>
    </xdr:to>
    <xdr:pic>
      <xdr:nvPicPr>
        <xdr:cNvPr id="1117" name="Рисунок 1116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492955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856</xdr:row>
      <xdr:rowOff>0</xdr:rowOff>
    </xdr:from>
    <xdr:to>
      <xdr:col>0</xdr:col>
      <xdr:colOff>1358735</xdr:colOff>
      <xdr:row>856</xdr:row>
      <xdr:rowOff>501900</xdr:rowOff>
    </xdr:to>
    <xdr:pic>
      <xdr:nvPicPr>
        <xdr:cNvPr id="1118" name="Рисунок 1117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543382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857</xdr:row>
      <xdr:rowOff>0</xdr:rowOff>
    </xdr:from>
    <xdr:to>
      <xdr:col>0</xdr:col>
      <xdr:colOff>1358735</xdr:colOff>
      <xdr:row>857</xdr:row>
      <xdr:rowOff>501900</xdr:rowOff>
    </xdr:to>
    <xdr:pic>
      <xdr:nvPicPr>
        <xdr:cNvPr id="1119" name="Рисунок 1118">
          <a:extLst>
            <a:ext uri="{FF2B5EF4-FFF2-40B4-BE49-F238E27FC236}">
              <a16:creationId xmlns:a16="http://schemas.microsoft.com/office/drawing/2014/main" xmlns="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59380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858</xdr:row>
      <xdr:rowOff>0</xdr:rowOff>
    </xdr:from>
    <xdr:to>
      <xdr:col>0</xdr:col>
      <xdr:colOff>1358735</xdr:colOff>
      <xdr:row>858</xdr:row>
      <xdr:rowOff>501900</xdr:rowOff>
    </xdr:to>
    <xdr:pic>
      <xdr:nvPicPr>
        <xdr:cNvPr id="1120" name="Рисунок 1119">
          <a:extLst>
            <a:ext uri="{FF2B5EF4-FFF2-40B4-BE49-F238E27FC236}">
              <a16:creationId xmlns:a16="http://schemas.microsoft.com/office/drawing/2014/main" xmlns="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644235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859</xdr:row>
      <xdr:rowOff>0</xdr:rowOff>
    </xdr:from>
    <xdr:to>
      <xdr:col>0</xdr:col>
      <xdr:colOff>1358735</xdr:colOff>
      <xdr:row>859</xdr:row>
      <xdr:rowOff>501900</xdr:rowOff>
    </xdr:to>
    <xdr:pic>
      <xdr:nvPicPr>
        <xdr:cNvPr id="1121" name="Рисунок 1120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694661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860</xdr:row>
      <xdr:rowOff>0</xdr:rowOff>
    </xdr:from>
    <xdr:to>
      <xdr:col>0</xdr:col>
      <xdr:colOff>1358735</xdr:colOff>
      <xdr:row>860</xdr:row>
      <xdr:rowOff>501900</xdr:rowOff>
    </xdr:to>
    <xdr:pic>
      <xdr:nvPicPr>
        <xdr:cNvPr id="1122" name="Рисунок 1121">
          <a:extLst>
            <a:ext uri="{FF2B5EF4-FFF2-40B4-BE49-F238E27FC236}">
              <a16:creationId xmlns:a16="http://schemas.microsoft.com/office/drawing/2014/main" xmlns="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745088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821</xdr:row>
      <xdr:rowOff>11206</xdr:rowOff>
    </xdr:from>
    <xdr:to>
      <xdr:col>0</xdr:col>
      <xdr:colOff>1358735</xdr:colOff>
      <xdr:row>821</xdr:row>
      <xdr:rowOff>503581</xdr:rowOff>
    </xdr:to>
    <xdr:pic>
      <xdr:nvPicPr>
        <xdr:cNvPr id="1123" name="Рисунок 1122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27795765"/>
          <a:ext cx="720000" cy="492375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829</xdr:row>
      <xdr:rowOff>0</xdr:rowOff>
    </xdr:from>
    <xdr:to>
      <xdr:col>0</xdr:col>
      <xdr:colOff>1358735</xdr:colOff>
      <xdr:row>829</xdr:row>
      <xdr:rowOff>501900</xdr:rowOff>
    </xdr:to>
    <xdr:pic>
      <xdr:nvPicPr>
        <xdr:cNvPr id="1124" name="Рисунок 1123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181867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837</xdr:row>
      <xdr:rowOff>0</xdr:rowOff>
    </xdr:from>
    <xdr:to>
      <xdr:col>0</xdr:col>
      <xdr:colOff>1358735</xdr:colOff>
      <xdr:row>837</xdr:row>
      <xdr:rowOff>501900</xdr:rowOff>
    </xdr:to>
    <xdr:pic>
      <xdr:nvPicPr>
        <xdr:cNvPr id="1125" name="Рисунок 1124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585279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845</xdr:row>
      <xdr:rowOff>0</xdr:rowOff>
    </xdr:from>
    <xdr:to>
      <xdr:col>0</xdr:col>
      <xdr:colOff>1358735</xdr:colOff>
      <xdr:row>845</xdr:row>
      <xdr:rowOff>501900</xdr:rowOff>
    </xdr:to>
    <xdr:pic>
      <xdr:nvPicPr>
        <xdr:cNvPr id="1126" name="Рисунок 1125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3988691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877</xdr:row>
      <xdr:rowOff>0</xdr:rowOff>
    </xdr:from>
    <xdr:to>
      <xdr:col>0</xdr:col>
      <xdr:colOff>1358735</xdr:colOff>
      <xdr:row>877</xdr:row>
      <xdr:rowOff>501900</xdr:rowOff>
    </xdr:to>
    <xdr:pic>
      <xdr:nvPicPr>
        <xdr:cNvPr id="1127" name="Рисунок 1126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602338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878</xdr:row>
      <xdr:rowOff>0</xdr:rowOff>
    </xdr:from>
    <xdr:to>
      <xdr:col>0</xdr:col>
      <xdr:colOff>1358735</xdr:colOff>
      <xdr:row>878</xdr:row>
      <xdr:rowOff>501900</xdr:rowOff>
    </xdr:to>
    <xdr:pic>
      <xdr:nvPicPr>
        <xdr:cNvPr id="1128" name="Рисунок 1127">
          <a:extLst>
            <a:ext uri="{FF2B5EF4-FFF2-40B4-BE49-F238E27FC236}">
              <a16:creationId xmlns:a16="http://schemas.microsoft.com/office/drawing/2014/main" xmlns="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6527647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879</xdr:row>
      <xdr:rowOff>0</xdr:rowOff>
    </xdr:from>
    <xdr:to>
      <xdr:col>0</xdr:col>
      <xdr:colOff>1358735</xdr:colOff>
      <xdr:row>879</xdr:row>
      <xdr:rowOff>501900</xdr:rowOff>
    </xdr:to>
    <xdr:pic>
      <xdr:nvPicPr>
        <xdr:cNvPr id="1129" name="Рисунок 1128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703191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880</xdr:row>
      <xdr:rowOff>0</xdr:rowOff>
    </xdr:from>
    <xdr:to>
      <xdr:col>0</xdr:col>
      <xdr:colOff>1358735</xdr:colOff>
      <xdr:row>880</xdr:row>
      <xdr:rowOff>501900</xdr:rowOff>
    </xdr:to>
    <xdr:pic>
      <xdr:nvPicPr>
        <xdr:cNvPr id="1130" name="Рисунок 1129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753617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881</xdr:row>
      <xdr:rowOff>0</xdr:rowOff>
    </xdr:from>
    <xdr:to>
      <xdr:col>0</xdr:col>
      <xdr:colOff>1358735</xdr:colOff>
      <xdr:row>881</xdr:row>
      <xdr:rowOff>501900</xdr:rowOff>
    </xdr:to>
    <xdr:pic>
      <xdr:nvPicPr>
        <xdr:cNvPr id="1131" name="Рисунок 1130">
          <a:extLst>
            <a:ext uri="{FF2B5EF4-FFF2-40B4-BE49-F238E27FC236}">
              <a16:creationId xmlns:a16="http://schemas.microsoft.com/office/drawing/2014/main" xmlns="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80404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882</xdr:row>
      <xdr:rowOff>0</xdr:rowOff>
    </xdr:from>
    <xdr:to>
      <xdr:col>0</xdr:col>
      <xdr:colOff>1358735</xdr:colOff>
      <xdr:row>882</xdr:row>
      <xdr:rowOff>501900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85447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883</xdr:row>
      <xdr:rowOff>0</xdr:rowOff>
    </xdr:from>
    <xdr:to>
      <xdr:col>0</xdr:col>
      <xdr:colOff>1358735</xdr:colOff>
      <xdr:row>883</xdr:row>
      <xdr:rowOff>501900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904897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884</xdr:row>
      <xdr:rowOff>0</xdr:rowOff>
    </xdr:from>
    <xdr:to>
      <xdr:col>0</xdr:col>
      <xdr:colOff>1358735</xdr:colOff>
      <xdr:row>884</xdr:row>
      <xdr:rowOff>501900</xdr:rowOff>
    </xdr:to>
    <xdr:pic>
      <xdr:nvPicPr>
        <xdr:cNvPr id="1134" name="Рисунок 1133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95532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885</xdr:row>
      <xdr:rowOff>0</xdr:rowOff>
    </xdr:from>
    <xdr:to>
      <xdr:col>0</xdr:col>
      <xdr:colOff>1358735</xdr:colOff>
      <xdr:row>885</xdr:row>
      <xdr:rowOff>501900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xmlns="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00575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886</xdr:row>
      <xdr:rowOff>0</xdr:rowOff>
    </xdr:from>
    <xdr:to>
      <xdr:col>0</xdr:col>
      <xdr:colOff>1358735</xdr:colOff>
      <xdr:row>886</xdr:row>
      <xdr:rowOff>501900</xdr:rowOff>
    </xdr:to>
    <xdr:pic>
      <xdr:nvPicPr>
        <xdr:cNvPr id="1136" name="Рисунок 1135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056176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887</xdr:row>
      <xdr:rowOff>0</xdr:rowOff>
    </xdr:from>
    <xdr:to>
      <xdr:col>0</xdr:col>
      <xdr:colOff>1358735</xdr:colOff>
      <xdr:row>887</xdr:row>
      <xdr:rowOff>501900</xdr:rowOff>
    </xdr:to>
    <xdr:pic>
      <xdr:nvPicPr>
        <xdr:cNvPr id="1137" name="Рисунок 1136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106602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888</xdr:row>
      <xdr:rowOff>0</xdr:rowOff>
    </xdr:from>
    <xdr:to>
      <xdr:col>0</xdr:col>
      <xdr:colOff>1358735</xdr:colOff>
      <xdr:row>888</xdr:row>
      <xdr:rowOff>501900</xdr:rowOff>
    </xdr:to>
    <xdr:pic>
      <xdr:nvPicPr>
        <xdr:cNvPr id="1138" name="Рисунок 1137">
          <a:extLst>
            <a:ext uri="{FF2B5EF4-FFF2-40B4-BE49-F238E27FC236}">
              <a16:creationId xmlns:a16="http://schemas.microsoft.com/office/drawing/2014/main" xmlns="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157029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889</xdr:row>
      <xdr:rowOff>0</xdr:rowOff>
    </xdr:from>
    <xdr:to>
      <xdr:col>0</xdr:col>
      <xdr:colOff>1358735</xdr:colOff>
      <xdr:row>889</xdr:row>
      <xdr:rowOff>501900</xdr:rowOff>
    </xdr:to>
    <xdr:pic>
      <xdr:nvPicPr>
        <xdr:cNvPr id="1139" name="Рисунок 1138">
          <a:extLst>
            <a:ext uri="{FF2B5EF4-FFF2-40B4-BE49-F238E27FC236}">
              <a16:creationId xmlns:a16="http://schemas.microsoft.com/office/drawing/2014/main" xmlns="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207455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890</xdr:row>
      <xdr:rowOff>0</xdr:rowOff>
    </xdr:from>
    <xdr:to>
      <xdr:col>0</xdr:col>
      <xdr:colOff>1358735</xdr:colOff>
      <xdr:row>890</xdr:row>
      <xdr:rowOff>501900</xdr:rowOff>
    </xdr:to>
    <xdr:pic>
      <xdr:nvPicPr>
        <xdr:cNvPr id="1140" name="Рисунок 1139">
          <a:extLst>
            <a:ext uri="{FF2B5EF4-FFF2-40B4-BE49-F238E27FC236}">
              <a16:creationId xmlns:a16="http://schemas.microsoft.com/office/drawing/2014/main" xmlns="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257882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891</xdr:row>
      <xdr:rowOff>0</xdr:rowOff>
    </xdr:from>
    <xdr:to>
      <xdr:col>0</xdr:col>
      <xdr:colOff>1358735</xdr:colOff>
      <xdr:row>891</xdr:row>
      <xdr:rowOff>501900</xdr:rowOff>
    </xdr:to>
    <xdr:pic>
      <xdr:nvPicPr>
        <xdr:cNvPr id="1141" name="Рисунок 1140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30830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892</xdr:row>
      <xdr:rowOff>0</xdr:rowOff>
    </xdr:from>
    <xdr:to>
      <xdr:col>0</xdr:col>
      <xdr:colOff>1358735</xdr:colOff>
      <xdr:row>892</xdr:row>
      <xdr:rowOff>501900</xdr:rowOff>
    </xdr:to>
    <xdr:pic>
      <xdr:nvPicPr>
        <xdr:cNvPr id="1142" name="Рисунок 1141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358735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893</xdr:row>
      <xdr:rowOff>0</xdr:rowOff>
    </xdr:from>
    <xdr:to>
      <xdr:col>0</xdr:col>
      <xdr:colOff>1358735</xdr:colOff>
      <xdr:row>893</xdr:row>
      <xdr:rowOff>501900</xdr:rowOff>
    </xdr:to>
    <xdr:pic>
      <xdr:nvPicPr>
        <xdr:cNvPr id="1143" name="Рисунок 1142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409161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894</xdr:row>
      <xdr:rowOff>0</xdr:rowOff>
    </xdr:from>
    <xdr:to>
      <xdr:col>0</xdr:col>
      <xdr:colOff>1358735</xdr:colOff>
      <xdr:row>894</xdr:row>
      <xdr:rowOff>501900</xdr:rowOff>
    </xdr:to>
    <xdr:pic>
      <xdr:nvPicPr>
        <xdr:cNvPr id="1144" name="Рисунок 1143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459588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895</xdr:row>
      <xdr:rowOff>0</xdr:rowOff>
    </xdr:from>
    <xdr:to>
      <xdr:col>0</xdr:col>
      <xdr:colOff>1358735</xdr:colOff>
      <xdr:row>895</xdr:row>
      <xdr:rowOff>501900</xdr:rowOff>
    </xdr:to>
    <xdr:pic>
      <xdr:nvPicPr>
        <xdr:cNvPr id="1145" name="Рисунок 1144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5100147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896</xdr:row>
      <xdr:rowOff>0</xdr:rowOff>
    </xdr:from>
    <xdr:to>
      <xdr:col>0</xdr:col>
      <xdr:colOff>1358735</xdr:colOff>
      <xdr:row>896</xdr:row>
      <xdr:rowOff>501900</xdr:rowOff>
    </xdr:to>
    <xdr:pic>
      <xdr:nvPicPr>
        <xdr:cNvPr id="1146" name="Рисунок 1145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560441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897</xdr:row>
      <xdr:rowOff>0</xdr:rowOff>
    </xdr:from>
    <xdr:to>
      <xdr:col>0</xdr:col>
      <xdr:colOff>1358735</xdr:colOff>
      <xdr:row>897</xdr:row>
      <xdr:rowOff>501900</xdr:rowOff>
    </xdr:to>
    <xdr:pic>
      <xdr:nvPicPr>
        <xdr:cNvPr id="1147" name="Рисунок 1146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610867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898</xdr:row>
      <xdr:rowOff>0</xdr:rowOff>
    </xdr:from>
    <xdr:to>
      <xdr:col>0</xdr:col>
      <xdr:colOff>1358735</xdr:colOff>
      <xdr:row>898</xdr:row>
      <xdr:rowOff>501900</xdr:rowOff>
    </xdr:to>
    <xdr:pic>
      <xdr:nvPicPr>
        <xdr:cNvPr id="1148" name="Рисунок 1147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66129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899</xdr:row>
      <xdr:rowOff>0</xdr:rowOff>
    </xdr:from>
    <xdr:to>
      <xdr:col>0</xdr:col>
      <xdr:colOff>1358735</xdr:colOff>
      <xdr:row>899</xdr:row>
      <xdr:rowOff>501900</xdr:rowOff>
    </xdr:to>
    <xdr:pic>
      <xdr:nvPicPr>
        <xdr:cNvPr id="1149" name="Рисунок 1148">
          <a:extLst>
            <a:ext uri="{FF2B5EF4-FFF2-40B4-BE49-F238E27FC236}">
              <a16:creationId xmlns:a16="http://schemas.microsoft.com/office/drawing/2014/main" xmlns="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71172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900</xdr:row>
      <xdr:rowOff>0</xdr:rowOff>
    </xdr:from>
    <xdr:to>
      <xdr:col>0</xdr:col>
      <xdr:colOff>1358735</xdr:colOff>
      <xdr:row>900</xdr:row>
      <xdr:rowOff>501900</xdr:rowOff>
    </xdr:to>
    <xdr:pic>
      <xdr:nvPicPr>
        <xdr:cNvPr id="1150" name="Рисунок 1149">
          <a:extLst>
            <a:ext uri="{FF2B5EF4-FFF2-40B4-BE49-F238E27FC236}">
              <a16:creationId xmlns:a16="http://schemas.microsoft.com/office/drawing/2014/main" xmlns="" id="{00000000-0008-0000-00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762147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861</xdr:row>
      <xdr:rowOff>0</xdr:rowOff>
    </xdr:from>
    <xdr:to>
      <xdr:col>0</xdr:col>
      <xdr:colOff>1358735</xdr:colOff>
      <xdr:row>861</xdr:row>
      <xdr:rowOff>501900</xdr:rowOff>
    </xdr:to>
    <xdr:pic>
      <xdr:nvPicPr>
        <xdr:cNvPr id="1151" name="Рисунок 1150">
          <a:extLst>
            <a:ext uri="{FF2B5EF4-FFF2-40B4-BE49-F238E27FC236}">
              <a16:creationId xmlns:a16="http://schemas.microsoft.com/office/drawing/2014/main" xmlns="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7955147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862</xdr:row>
      <xdr:rowOff>0</xdr:rowOff>
    </xdr:from>
    <xdr:to>
      <xdr:col>0</xdr:col>
      <xdr:colOff>1358735</xdr:colOff>
      <xdr:row>862</xdr:row>
      <xdr:rowOff>501900</xdr:rowOff>
    </xdr:to>
    <xdr:pic>
      <xdr:nvPicPr>
        <xdr:cNvPr id="1152" name="Рисунок 1151">
          <a:extLst>
            <a:ext uri="{FF2B5EF4-FFF2-40B4-BE49-F238E27FC236}">
              <a16:creationId xmlns:a16="http://schemas.microsoft.com/office/drawing/2014/main" xmlns="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845941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863</xdr:row>
      <xdr:rowOff>0</xdr:rowOff>
    </xdr:from>
    <xdr:to>
      <xdr:col>0</xdr:col>
      <xdr:colOff>1358735</xdr:colOff>
      <xdr:row>863</xdr:row>
      <xdr:rowOff>501900</xdr:rowOff>
    </xdr:to>
    <xdr:pic>
      <xdr:nvPicPr>
        <xdr:cNvPr id="1153" name="Рисунок 1152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896367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864</xdr:row>
      <xdr:rowOff>0</xdr:rowOff>
    </xdr:from>
    <xdr:to>
      <xdr:col>0</xdr:col>
      <xdr:colOff>1358735</xdr:colOff>
      <xdr:row>864</xdr:row>
      <xdr:rowOff>501900</xdr:rowOff>
    </xdr:to>
    <xdr:pic>
      <xdr:nvPicPr>
        <xdr:cNvPr id="1154" name="Рисунок 1153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94679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865</xdr:row>
      <xdr:rowOff>0</xdr:rowOff>
    </xdr:from>
    <xdr:to>
      <xdr:col>0</xdr:col>
      <xdr:colOff>1358735</xdr:colOff>
      <xdr:row>865</xdr:row>
      <xdr:rowOff>501900</xdr:rowOff>
    </xdr:to>
    <xdr:pic>
      <xdr:nvPicPr>
        <xdr:cNvPr id="1155" name="Рисунок 1154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499722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866</xdr:row>
      <xdr:rowOff>0</xdr:rowOff>
    </xdr:from>
    <xdr:to>
      <xdr:col>0</xdr:col>
      <xdr:colOff>1358735</xdr:colOff>
      <xdr:row>866</xdr:row>
      <xdr:rowOff>501900</xdr:rowOff>
    </xdr:to>
    <xdr:pic>
      <xdr:nvPicPr>
        <xdr:cNvPr id="1156" name="Рисунок 1155">
          <a:extLst>
            <a:ext uri="{FF2B5EF4-FFF2-40B4-BE49-F238E27FC236}">
              <a16:creationId xmlns:a16="http://schemas.microsoft.com/office/drawing/2014/main" xmlns="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047647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867</xdr:row>
      <xdr:rowOff>0</xdr:rowOff>
    </xdr:from>
    <xdr:to>
      <xdr:col>0</xdr:col>
      <xdr:colOff>1358735</xdr:colOff>
      <xdr:row>867</xdr:row>
      <xdr:rowOff>501900</xdr:rowOff>
    </xdr:to>
    <xdr:pic>
      <xdr:nvPicPr>
        <xdr:cNvPr id="1157" name="Рисунок 1156">
          <a:extLst>
            <a:ext uri="{FF2B5EF4-FFF2-40B4-BE49-F238E27FC236}">
              <a16:creationId xmlns:a16="http://schemas.microsoft.com/office/drawing/2014/main" xmlns="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09807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868</xdr:row>
      <xdr:rowOff>0</xdr:rowOff>
    </xdr:from>
    <xdr:to>
      <xdr:col>0</xdr:col>
      <xdr:colOff>1358735</xdr:colOff>
      <xdr:row>868</xdr:row>
      <xdr:rowOff>501900</xdr:rowOff>
    </xdr:to>
    <xdr:pic>
      <xdr:nvPicPr>
        <xdr:cNvPr id="1158" name="Рисунок 1157">
          <a:extLst>
            <a:ext uri="{FF2B5EF4-FFF2-40B4-BE49-F238E27FC236}">
              <a16:creationId xmlns:a16="http://schemas.microsoft.com/office/drawing/2014/main" xmlns="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14850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869</xdr:row>
      <xdr:rowOff>0</xdr:rowOff>
    </xdr:from>
    <xdr:to>
      <xdr:col>0</xdr:col>
      <xdr:colOff>1358735</xdr:colOff>
      <xdr:row>869</xdr:row>
      <xdr:rowOff>501900</xdr:rowOff>
    </xdr:to>
    <xdr:pic>
      <xdr:nvPicPr>
        <xdr:cNvPr id="1159" name="Рисунок 1158">
          <a:extLst>
            <a:ext uri="{FF2B5EF4-FFF2-40B4-BE49-F238E27FC236}">
              <a16:creationId xmlns:a16="http://schemas.microsoft.com/office/drawing/2014/main" xmlns="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198926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870</xdr:row>
      <xdr:rowOff>0</xdr:rowOff>
    </xdr:from>
    <xdr:to>
      <xdr:col>0</xdr:col>
      <xdr:colOff>1358735</xdr:colOff>
      <xdr:row>870</xdr:row>
      <xdr:rowOff>501900</xdr:rowOff>
    </xdr:to>
    <xdr:pic>
      <xdr:nvPicPr>
        <xdr:cNvPr id="1160" name="Рисунок 1159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249352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871</xdr:row>
      <xdr:rowOff>0</xdr:rowOff>
    </xdr:from>
    <xdr:to>
      <xdr:col>0</xdr:col>
      <xdr:colOff>1358735</xdr:colOff>
      <xdr:row>871</xdr:row>
      <xdr:rowOff>501900</xdr:rowOff>
    </xdr:to>
    <xdr:pic>
      <xdr:nvPicPr>
        <xdr:cNvPr id="1161" name="Рисунок 1160">
          <a:extLst>
            <a:ext uri="{FF2B5EF4-FFF2-40B4-BE49-F238E27FC236}">
              <a16:creationId xmlns:a16="http://schemas.microsoft.com/office/drawing/2014/main" xmlns="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299779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872</xdr:row>
      <xdr:rowOff>0</xdr:rowOff>
    </xdr:from>
    <xdr:to>
      <xdr:col>0</xdr:col>
      <xdr:colOff>1358735</xdr:colOff>
      <xdr:row>872</xdr:row>
      <xdr:rowOff>501900</xdr:rowOff>
    </xdr:to>
    <xdr:pic>
      <xdr:nvPicPr>
        <xdr:cNvPr id="1162" name="Рисунок 1161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350205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873</xdr:row>
      <xdr:rowOff>0</xdr:rowOff>
    </xdr:from>
    <xdr:to>
      <xdr:col>0</xdr:col>
      <xdr:colOff>1358735</xdr:colOff>
      <xdr:row>873</xdr:row>
      <xdr:rowOff>501900</xdr:rowOff>
    </xdr:to>
    <xdr:pic>
      <xdr:nvPicPr>
        <xdr:cNvPr id="1163" name="Рисунок 1162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400632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874</xdr:row>
      <xdr:rowOff>0</xdr:rowOff>
    </xdr:from>
    <xdr:to>
      <xdr:col>0</xdr:col>
      <xdr:colOff>1358735</xdr:colOff>
      <xdr:row>874</xdr:row>
      <xdr:rowOff>501900</xdr:rowOff>
    </xdr:to>
    <xdr:pic>
      <xdr:nvPicPr>
        <xdr:cNvPr id="1164" name="Рисунок 1163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45105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875</xdr:row>
      <xdr:rowOff>0</xdr:rowOff>
    </xdr:from>
    <xdr:to>
      <xdr:col>0</xdr:col>
      <xdr:colOff>1358735</xdr:colOff>
      <xdr:row>875</xdr:row>
      <xdr:rowOff>501900</xdr:rowOff>
    </xdr:to>
    <xdr:pic>
      <xdr:nvPicPr>
        <xdr:cNvPr id="1165" name="Рисунок 1164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501485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876</xdr:row>
      <xdr:rowOff>0</xdr:rowOff>
    </xdr:from>
    <xdr:to>
      <xdr:col>0</xdr:col>
      <xdr:colOff>1358735</xdr:colOff>
      <xdr:row>876</xdr:row>
      <xdr:rowOff>501900</xdr:rowOff>
    </xdr:to>
    <xdr:pic>
      <xdr:nvPicPr>
        <xdr:cNvPr id="1166" name="Рисунок 1165">
          <a:extLst>
            <a:ext uri="{FF2B5EF4-FFF2-40B4-BE49-F238E27FC236}">
              <a16:creationId xmlns:a16="http://schemas.microsoft.com/office/drawing/2014/main" xmlns="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5551911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909</xdr:row>
      <xdr:rowOff>0</xdr:rowOff>
    </xdr:from>
    <xdr:to>
      <xdr:col>0</xdr:col>
      <xdr:colOff>1358735</xdr:colOff>
      <xdr:row>909</xdr:row>
      <xdr:rowOff>501900</xdr:rowOff>
    </xdr:to>
    <xdr:pic>
      <xdr:nvPicPr>
        <xdr:cNvPr id="1167" name="Рисунок 1166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215985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910</xdr:row>
      <xdr:rowOff>0</xdr:rowOff>
    </xdr:from>
    <xdr:to>
      <xdr:col>0</xdr:col>
      <xdr:colOff>1358735</xdr:colOff>
      <xdr:row>910</xdr:row>
      <xdr:rowOff>501900</xdr:rowOff>
    </xdr:to>
    <xdr:pic>
      <xdr:nvPicPr>
        <xdr:cNvPr id="1168" name="Рисунок 1167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266411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911</xdr:row>
      <xdr:rowOff>0</xdr:rowOff>
    </xdr:from>
    <xdr:to>
      <xdr:col>0</xdr:col>
      <xdr:colOff>1358735</xdr:colOff>
      <xdr:row>911</xdr:row>
      <xdr:rowOff>501900</xdr:rowOff>
    </xdr:to>
    <xdr:pic>
      <xdr:nvPicPr>
        <xdr:cNvPr id="1169" name="Рисунок 1168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316838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912</xdr:row>
      <xdr:rowOff>0</xdr:rowOff>
    </xdr:from>
    <xdr:to>
      <xdr:col>0</xdr:col>
      <xdr:colOff>1358735</xdr:colOff>
      <xdr:row>912</xdr:row>
      <xdr:rowOff>501900</xdr:rowOff>
    </xdr:to>
    <xdr:pic>
      <xdr:nvPicPr>
        <xdr:cNvPr id="1170" name="Рисунок 1169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3672647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913</xdr:row>
      <xdr:rowOff>0</xdr:rowOff>
    </xdr:from>
    <xdr:to>
      <xdr:col>0</xdr:col>
      <xdr:colOff>1358735</xdr:colOff>
      <xdr:row>913</xdr:row>
      <xdr:rowOff>501900</xdr:rowOff>
    </xdr:to>
    <xdr:pic>
      <xdr:nvPicPr>
        <xdr:cNvPr id="1171" name="Рисунок 1170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417691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914</xdr:row>
      <xdr:rowOff>0</xdr:rowOff>
    </xdr:from>
    <xdr:to>
      <xdr:col>0</xdr:col>
      <xdr:colOff>1358735</xdr:colOff>
      <xdr:row>914</xdr:row>
      <xdr:rowOff>501900</xdr:rowOff>
    </xdr:to>
    <xdr:pic>
      <xdr:nvPicPr>
        <xdr:cNvPr id="1172" name="Рисунок 1171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468117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915</xdr:row>
      <xdr:rowOff>0</xdr:rowOff>
    </xdr:from>
    <xdr:to>
      <xdr:col>0</xdr:col>
      <xdr:colOff>1358735</xdr:colOff>
      <xdr:row>915</xdr:row>
      <xdr:rowOff>501900</xdr:rowOff>
    </xdr:to>
    <xdr:pic>
      <xdr:nvPicPr>
        <xdr:cNvPr id="1173" name="Рисунок 1172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51854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916</xdr:row>
      <xdr:rowOff>0</xdr:rowOff>
    </xdr:from>
    <xdr:to>
      <xdr:col>0</xdr:col>
      <xdr:colOff>1358735</xdr:colOff>
      <xdr:row>916</xdr:row>
      <xdr:rowOff>501900</xdr:rowOff>
    </xdr:to>
    <xdr:pic>
      <xdr:nvPicPr>
        <xdr:cNvPr id="1174" name="Рисунок 1173">
          <a:extLst>
            <a:ext uri="{FF2B5EF4-FFF2-40B4-BE49-F238E27FC236}">
              <a16:creationId xmlns:a16="http://schemas.microsoft.com/office/drawing/2014/main" xmlns="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56897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917</xdr:row>
      <xdr:rowOff>0</xdr:rowOff>
    </xdr:from>
    <xdr:to>
      <xdr:col>0</xdr:col>
      <xdr:colOff>1358735</xdr:colOff>
      <xdr:row>917</xdr:row>
      <xdr:rowOff>501900</xdr:rowOff>
    </xdr:to>
    <xdr:pic>
      <xdr:nvPicPr>
        <xdr:cNvPr id="1175" name="Рисунок 1174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619397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918</xdr:row>
      <xdr:rowOff>0</xdr:rowOff>
    </xdr:from>
    <xdr:to>
      <xdr:col>0</xdr:col>
      <xdr:colOff>1358735</xdr:colOff>
      <xdr:row>918</xdr:row>
      <xdr:rowOff>501900</xdr:rowOff>
    </xdr:to>
    <xdr:pic>
      <xdr:nvPicPr>
        <xdr:cNvPr id="1176" name="Рисунок 1175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66982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919</xdr:row>
      <xdr:rowOff>0</xdr:rowOff>
    </xdr:from>
    <xdr:to>
      <xdr:col>0</xdr:col>
      <xdr:colOff>1358735</xdr:colOff>
      <xdr:row>919</xdr:row>
      <xdr:rowOff>501900</xdr:rowOff>
    </xdr:to>
    <xdr:pic>
      <xdr:nvPicPr>
        <xdr:cNvPr id="1177" name="Рисунок 1176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72025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920</xdr:row>
      <xdr:rowOff>0</xdr:rowOff>
    </xdr:from>
    <xdr:to>
      <xdr:col>0</xdr:col>
      <xdr:colOff>1358735</xdr:colOff>
      <xdr:row>920</xdr:row>
      <xdr:rowOff>501900</xdr:rowOff>
    </xdr:to>
    <xdr:pic>
      <xdr:nvPicPr>
        <xdr:cNvPr id="1178" name="Рисунок 1177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770676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921</xdr:row>
      <xdr:rowOff>0</xdr:rowOff>
    </xdr:from>
    <xdr:to>
      <xdr:col>0</xdr:col>
      <xdr:colOff>1358735</xdr:colOff>
      <xdr:row>921</xdr:row>
      <xdr:rowOff>501900</xdr:rowOff>
    </xdr:to>
    <xdr:pic>
      <xdr:nvPicPr>
        <xdr:cNvPr id="1179" name="Рисунок 1178">
          <a:extLst>
            <a:ext uri="{FF2B5EF4-FFF2-40B4-BE49-F238E27FC236}">
              <a16:creationId xmlns:a16="http://schemas.microsoft.com/office/drawing/2014/main" xmlns="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821102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922</xdr:row>
      <xdr:rowOff>0</xdr:rowOff>
    </xdr:from>
    <xdr:to>
      <xdr:col>0</xdr:col>
      <xdr:colOff>1358735</xdr:colOff>
      <xdr:row>922</xdr:row>
      <xdr:rowOff>501900</xdr:rowOff>
    </xdr:to>
    <xdr:pic>
      <xdr:nvPicPr>
        <xdr:cNvPr id="1180" name="Рисунок 1179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871529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923</xdr:row>
      <xdr:rowOff>0</xdr:rowOff>
    </xdr:from>
    <xdr:to>
      <xdr:col>0</xdr:col>
      <xdr:colOff>1358735</xdr:colOff>
      <xdr:row>923</xdr:row>
      <xdr:rowOff>501900</xdr:rowOff>
    </xdr:to>
    <xdr:pic>
      <xdr:nvPicPr>
        <xdr:cNvPr id="1181" name="Рисунок 1180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921955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924</xdr:row>
      <xdr:rowOff>0</xdr:rowOff>
    </xdr:from>
    <xdr:to>
      <xdr:col>0</xdr:col>
      <xdr:colOff>1358735</xdr:colOff>
      <xdr:row>924</xdr:row>
      <xdr:rowOff>501900</xdr:rowOff>
    </xdr:to>
    <xdr:pic>
      <xdr:nvPicPr>
        <xdr:cNvPr id="1182" name="Рисунок 1181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972382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925</xdr:row>
      <xdr:rowOff>0</xdr:rowOff>
    </xdr:from>
    <xdr:to>
      <xdr:col>0</xdr:col>
      <xdr:colOff>1358735</xdr:colOff>
      <xdr:row>925</xdr:row>
      <xdr:rowOff>501900</xdr:rowOff>
    </xdr:to>
    <xdr:pic>
      <xdr:nvPicPr>
        <xdr:cNvPr id="1183" name="Рисунок 1182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02280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926</xdr:row>
      <xdr:rowOff>0</xdr:rowOff>
    </xdr:from>
    <xdr:to>
      <xdr:col>0</xdr:col>
      <xdr:colOff>1358735</xdr:colOff>
      <xdr:row>926</xdr:row>
      <xdr:rowOff>501900</xdr:rowOff>
    </xdr:to>
    <xdr:pic>
      <xdr:nvPicPr>
        <xdr:cNvPr id="1184" name="Рисунок 1183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073235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927</xdr:row>
      <xdr:rowOff>0</xdr:rowOff>
    </xdr:from>
    <xdr:to>
      <xdr:col>0</xdr:col>
      <xdr:colOff>1358735</xdr:colOff>
      <xdr:row>927</xdr:row>
      <xdr:rowOff>501900</xdr:rowOff>
    </xdr:to>
    <xdr:pic>
      <xdr:nvPicPr>
        <xdr:cNvPr id="1185" name="Рисунок 1184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123661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928</xdr:row>
      <xdr:rowOff>0</xdr:rowOff>
    </xdr:from>
    <xdr:to>
      <xdr:col>0</xdr:col>
      <xdr:colOff>1358735</xdr:colOff>
      <xdr:row>928</xdr:row>
      <xdr:rowOff>501900</xdr:rowOff>
    </xdr:to>
    <xdr:pic>
      <xdr:nvPicPr>
        <xdr:cNvPr id="1186" name="Рисунок 1185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174088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929</xdr:row>
      <xdr:rowOff>0</xdr:rowOff>
    </xdr:from>
    <xdr:to>
      <xdr:col>0</xdr:col>
      <xdr:colOff>1358735</xdr:colOff>
      <xdr:row>929</xdr:row>
      <xdr:rowOff>501900</xdr:rowOff>
    </xdr:to>
    <xdr:pic>
      <xdr:nvPicPr>
        <xdr:cNvPr id="1187" name="Рисунок 1186">
          <a:extLst>
            <a:ext uri="{FF2B5EF4-FFF2-40B4-BE49-F238E27FC236}">
              <a16:creationId xmlns:a16="http://schemas.microsoft.com/office/drawing/2014/main" xmlns="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2245147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930</xdr:row>
      <xdr:rowOff>0</xdr:rowOff>
    </xdr:from>
    <xdr:to>
      <xdr:col>0</xdr:col>
      <xdr:colOff>1358735</xdr:colOff>
      <xdr:row>930</xdr:row>
      <xdr:rowOff>501900</xdr:rowOff>
    </xdr:to>
    <xdr:pic>
      <xdr:nvPicPr>
        <xdr:cNvPr id="1188" name="Рисунок 1187">
          <a:extLst>
            <a:ext uri="{FF2B5EF4-FFF2-40B4-BE49-F238E27FC236}">
              <a16:creationId xmlns:a16="http://schemas.microsoft.com/office/drawing/2014/main" xmlns="" id="{00000000-0008-0000-00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274941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931</xdr:row>
      <xdr:rowOff>0</xdr:rowOff>
    </xdr:from>
    <xdr:to>
      <xdr:col>0</xdr:col>
      <xdr:colOff>1358735</xdr:colOff>
      <xdr:row>931</xdr:row>
      <xdr:rowOff>501900</xdr:rowOff>
    </xdr:to>
    <xdr:pic>
      <xdr:nvPicPr>
        <xdr:cNvPr id="1189" name="Рисунок 1188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325367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932</xdr:row>
      <xdr:rowOff>0</xdr:rowOff>
    </xdr:from>
    <xdr:to>
      <xdr:col>0</xdr:col>
      <xdr:colOff>1358735</xdr:colOff>
      <xdr:row>932</xdr:row>
      <xdr:rowOff>501900</xdr:rowOff>
    </xdr:to>
    <xdr:pic>
      <xdr:nvPicPr>
        <xdr:cNvPr id="1190" name="Рисунок 1189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37579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933</xdr:row>
      <xdr:rowOff>0</xdr:rowOff>
    </xdr:from>
    <xdr:to>
      <xdr:col>0</xdr:col>
      <xdr:colOff>1358735</xdr:colOff>
      <xdr:row>933</xdr:row>
      <xdr:rowOff>501900</xdr:rowOff>
    </xdr:to>
    <xdr:pic>
      <xdr:nvPicPr>
        <xdr:cNvPr id="1191" name="Рисунок 1190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42622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934</xdr:row>
      <xdr:rowOff>0</xdr:rowOff>
    </xdr:from>
    <xdr:to>
      <xdr:col>0</xdr:col>
      <xdr:colOff>1358735</xdr:colOff>
      <xdr:row>934</xdr:row>
      <xdr:rowOff>501900</xdr:rowOff>
    </xdr:to>
    <xdr:pic>
      <xdr:nvPicPr>
        <xdr:cNvPr id="1192" name="Рисунок 1191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476647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935</xdr:row>
      <xdr:rowOff>0</xdr:rowOff>
    </xdr:from>
    <xdr:to>
      <xdr:col>0</xdr:col>
      <xdr:colOff>1358735</xdr:colOff>
      <xdr:row>935</xdr:row>
      <xdr:rowOff>501900</xdr:rowOff>
    </xdr:to>
    <xdr:pic>
      <xdr:nvPicPr>
        <xdr:cNvPr id="1193" name="Рисунок 1192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52707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936</xdr:row>
      <xdr:rowOff>0</xdr:rowOff>
    </xdr:from>
    <xdr:to>
      <xdr:col>0</xdr:col>
      <xdr:colOff>1358735</xdr:colOff>
      <xdr:row>936</xdr:row>
      <xdr:rowOff>501900</xdr:rowOff>
    </xdr:to>
    <xdr:pic>
      <xdr:nvPicPr>
        <xdr:cNvPr id="1194" name="Рисунок 1193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57750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937</xdr:row>
      <xdr:rowOff>0</xdr:rowOff>
    </xdr:from>
    <xdr:to>
      <xdr:col>0</xdr:col>
      <xdr:colOff>1358735</xdr:colOff>
      <xdr:row>937</xdr:row>
      <xdr:rowOff>501900</xdr:rowOff>
    </xdr:to>
    <xdr:pic>
      <xdr:nvPicPr>
        <xdr:cNvPr id="1195" name="Рисунок 1194">
          <a:extLst>
            <a:ext uri="{FF2B5EF4-FFF2-40B4-BE49-F238E27FC236}">
              <a16:creationId xmlns:a16="http://schemas.microsoft.com/office/drawing/2014/main" xmlns="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627926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938</xdr:row>
      <xdr:rowOff>0</xdr:rowOff>
    </xdr:from>
    <xdr:to>
      <xdr:col>0</xdr:col>
      <xdr:colOff>1358735</xdr:colOff>
      <xdr:row>938</xdr:row>
      <xdr:rowOff>501900</xdr:rowOff>
    </xdr:to>
    <xdr:pic>
      <xdr:nvPicPr>
        <xdr:cNvPr id="1196" name="Рисунок 1195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678352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939</xdr:row>
      <xdr:rowOff>0</xdr:rowOff>
    </xdr:from>
    <xdr:to>
      <xdr:col>0</xdr:col>
      <xdr:colOff>1358735</xdr:colOff>
      <xdr:row>939</xdr:row>
      <xdr:rowOff>501900</xdr:rowOff>
    </xdr:to>
    <xdr:pic>
      <xdr:nvPicPr>
        <xdr:cNvPr id="1197" name="Рисунок 1196">
          <a:extLst>
            <a:ext uri="{FF2B5EF4-FFF2-40B4-BE49-F238E27FC236}">
              <a16:creationId xmlns:a16="http://schemas.microsoft.com/office/drawing/2014/main" xmlns="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728779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940</xdr:row>
      <xdr:rowOff>0</xdr:rowOff>
    </xdr:from>
    <xdr:to>
      <xdr:col>0</xdr:col>
      <xdr:colOff>1358735</xdr:colOff>
      <xdr:row>940</xdr:row>
      <xdr:rowOff>501900</xdr:rowOff>
    </xdr:to>
    <xdr:pic>
      <xdr:nvPicPr>
        <xdr:cNvPr id="1198" name="Рисунок 1197">
          <a:extLst>
            <a:ext uri="{FF2B5EF4-FFF2-40B4-BE49-F238E27FC236}">
              <a16:creationId xmlns:a16="http://schemas.microsoft.com/office/drawing/2014/main" xmlns="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779205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941</xdr:row>
      <xdr:rowOff>0</xdr:rowOff>
    </xdr:from>
    <xdr:to>
      <xdr:col>0</xdr:col>
      <xdr:colOff>1358735</xdr:colOff>
      <xdr:row>941</xdr:row>
      <xdr:rowOff>501900</xdr:rowOff>
    </xdr:to>
    <xdr:pic>
      <xdr:nvPicPr>
        <xdr:cNvPr id="1199" name="Рисунок 1198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829632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942</xdr:row>
      <xdr:rowOff>0</xdr:rowOff>
    </xdr:from>
    <xdr:to>
      <xdr:col>0</xdr:col>
      <xdr:colOff>1358735</xdr:colOff>
      <xdr:row>942</xdr:row>
      <xdr:rowOff>501900</xdr:rowOff>
    </xdr:to>
    <xdr:pic>
      <xdr:nvPicPr>
        <xdr:cNvPr id="1200" name="Рисунок 1199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888005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901</xdr:row>
      <xdr:rowOff>0</xdr:rowOff>
    </xdr:from>
    <xdr:to>
      <xdr:col>0</xdr:col>
      <xdr:colOff>1358735</xdr:colOff>
      <xdr:row>901</xdr:row>
      <xdr:rowOff>501900</xdr:rowOff>
    </xdr:to>
    <xdr:pic>
      <xdr:nvPicPr>
        <xdr:cNvPr id="1201" name="Рисунок 1200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81257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902</xdr:row>
      <xdr:rowOff>0</xdr:rowOff>
    </xdr:from>
    <xdr:to>
      <xdr:col>0</xdr:col>
      <xdr:colOff>1358735</xdr:colOff>
      <xdr:row>902</xdr:row>
      <xdr:rowOff>501900</xdr:rowOff>
    </xdr:to>
    <xdr:pic>
      <xdr:nvPicPr>
        <xdr:cNvPr id="1202" name="Рисунок 1201">
          <a:extLst>
            <a:ext uri="{FF2B5EF4-FFF2-40B4-BE49-F238E27FC236}">
              <a16:creationId xmlns:a16="http://schemas.microsoft.com/office/drawing/2014/main" xmlns="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86300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903</xdr:row>
      <xdr:rowOff>0</xdr:rowOff>
    </xdr:from>
    <xdr:to>
      <xdr:col>0</xdr:col>
      <xdr:colOff>1358735</xdr:colOff>
      <xdr:row>903</xdr:row>
      <xdr:rowOff>501900</xdr:rowOff>
    </xdr:to>
    <xdr:pic>
      <xdr:nvPicPr>
        <xdr:cNvPr id="1203" name="Рисунок 1202">
          <a:extLst>
            <a:ext uri="{FF2B5EF4-FFF2-40B4-BE49-F238E27FC236}">
              <a16:creationId xmlns:a16="http://schemas.microsoft.com/office/drawing/2014/main" xmlns="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913426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904</xdr:row>
      <xdr:rowOff>0</xdr:rowOff>
    </xdr:from>
    <xdr:to>
      <xdr:col>0</xdr:col>
      <xdr:colOff>1358735</xdr:colOff>
      <xdr:row>904</xdr:row>
      <xdr:rowOff>501900</xdr:rowOff>
    </xdr:to>
    <xdr:pic>
      <xdr:nvPicPr>
        <xdr:cNvPr id="1204" name="Рисунок 1203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6963852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905</xdr:row>
      <xdr:rowOff>0</xdr:rowOff>
    </xdr:from>
    <xdr:to>
      <xdr:col>0</xdr:col>
      <xdr:colOff>1358735</xdr:colOff>
      <xdr:row>905</xdr:row>
      <xdr:rowOff>501900</xdr:rowOff>
    </xdr:to>
    <xdr:pic>
      <xdr:nvPicPr>
        <xdr:cNvPr id="1205" name="Рисунок 1204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014279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906</xdr:row>
      <xdr:rowOff>0</xdr:rowOff>
    </xdr:from>
    <xdr:to>
      <xdr:col>0</xdr:col>
      <xdr:colOff>1358735</xdr:colOff>
      <xdr:row>906</xdr:row>
      <xdr:rowOff>501900</xdr:rowOff>
    </xdr:to>
    <xdr:pic>
      <xdr:nvPicPr>
        <xdr:cNvPr id="1206" name="Рисунок 1205">
          <a:extLst>
            <a:ext uri="{FF2B5EF4-FFF2-40B4-BE49-F238E27FC236}">
              <a16:creationId xmlns:a16="http://schemas.microsoft.com/office/drawing/2014/main" xmlns="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064705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907</xdr:row>
      <xdr:rowOff>0</xdr:rowOff>
    </xdr:from>
    <xdr:to>
      <xdr:col>0</xdr:col>
      <xdr:colOff>1358735</xdr:colOff>
      <xdr:row>907</xdr:row>
      <xdr:rowOff>501900</xdr:rowOff>
    </xdr:to>
    <xdr:pic>
      <xdr:nvPicPr>
        <xdr:cNvPr id="1207" name="Рисунок 1206">
          <a:extLst>
            <a:ext uri="{FF2B5EF4-FFF2-40B4-BE49-F238E27FC236}">
              <a16:creationId xmlns:a16="http://schemas.microsoft.com/office/drawing/2014/main" xmlns="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115132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638735</xdr:colOff>
      <xdr:row>908</xdr:row>
      <xdr:rowOff>0</xdr:rowOff>
    </xdr:from>
    <xdr:to>
      <xdr:col>0</xdr:col>
      <xdr:colOff>1358735</xdr:colOff>
      <xdr:row>908</xdr:row>
      <xdr:rowOff>501900</xdr:rowOff>
    </xdr:to>
    <xdr:pic>
      <xdr:nvPicPr>
        <xdr:cNvPr id="1208" name="Рисунок 1207">
          <a:extLst>
            <a:ext uri="{FF2B5EF4-FFF2-40B4-BE49-F238E27FC236}">
              <a16:creationId xmlns:a16="http://schemas.microsoft.com/office/drawing/2014/main" xmlns="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5" y="4716555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662547</xdr:colOff>
      <xdr:row>944</xdr:row>
      <xdr:rowOff>23812</xdr:rowOff>
    </xdr:from>
    <xdr:to>
      <xdr:col>0</xdr:col>
      <xdr:colOff>1472547</xdr:colOff>
      <xdr:row>945</xdr:row>
      <xdr:rowOff>2398</xdr:rowOff>
    </xdr:to>
    <xdr:pic>
      <xdr:nvPicPr>
        <xdr:cNvPr id="1209" name="Рисунок 1208">
          <a:extLst>
            <a:ext uri="{FF2B5EF4-FFF2-40B4-BE49-F238E27FC236}">
              <a16:creationId xmlns:a16="http://schemas.microsoft.com/office/drawing/2014/main" xmlns="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47" y="489832930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674453</xdr:colOff>
      <xdr:row>945</xdr:row>
      <xdr:rowOff>23812</xdr:rowOff>
    </xdr:from>
    <xdr:to>
      <xdr:col>0</xdr:col>
      <xdr:colOff>1484453</xdr:colOff>
      <xdr:row>946</xdr:row>
      <xdr:rowOff>2397</xdr:rowOff>
    </xdr:to>
    <xdr:pic>
      <xdr:nvPicPr>
        <xdr:cNvPr id="1210" name="Рисунок 1209">
          <a:extLst>
            <a:ext uri="{FF2B5EF4-FFF2-40B4-BE49-F238E27FC236}">
              <a16:creationId xmlns:a16="http://schemas.microsoft.com/office/drawing/2014/main" xmlns="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53" y="490337194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662547</xdr:colOff>
      <xdr:row>946</xdr:row>
      <xdr:rowOff>23812</xdr:rowOff>
    </xdr:from>
    <xdr:to>
      <xdr:col>0</xdr:col>
      <xdr:colOff>1472547</xdr:colOff>
      <xdr:row>947</xdr:row>
      <xdr:rowOff>2397</xdr:rowOff>
    </xdr:to>
    <xdr:pic>
      <xdr:nvPicPr>
        <xdr:cNvPr id="1211" name="Рисунок 1210">
          <a:extLst>
            <a:ext uri="{FF2B5EF4-FFF2-40B4-BE49-F238E27FC236}">
              <a16:creationId xmlns:a16="http://schemas.microsoft.com/office/drawing/2014/main" xmlns="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47" y="490841459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662547</xdr:colOff>
      <xdr:row>947</xdr:row>
      <xdr:rowOff>23812</xdr:rowOff>
    </xdr:from>
    <xdr:to>
      <xdr:col>0</xdr:col>
      <xdr:colOff>1472547</xdr:colOff>
      <xdr:row>948</xdr:row>
      <xdr:rowOff>2398</xdr:rowOff>
    </xdr:to>
    <xdr:pic>
      <xdr:nvPicPr>
        <xdr:cNvPr id="1212" name="Рисунок 1211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47" y="491345724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674453</xdr:colOff>
      <xdr:row>948</xdr:row>
      <xdr:rowOff>23812</xdr:rowOff>
    </xdr:from>
    <xdr:to>
      <xdr:col>0</xdr:col>
      <xdr:colOff>1484453</xdr:colOff>
      <xdr:row>949</xdr:row>
      <xdr:rowOff>2397</xdr:rowOff>
    </xdr:to>
    <xdr:pic>
      <xdr:nvPicPr>
        <xdr:cNvPr id="1213" name="Рисунок 1212">
          <a:extLst>
            <a:ext uri="{FF2B5EF4-FFF2-40B4-BE49-F238E27FC236}">
              <a16:creationId xmlns:a16="http://schemas.microsoft.com/office/drawing/2014/main" xmlns="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53" y="491849988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707371</xdr:colOff>
      <xdr:row>949</xdr:row>
      <xdr:rowOff>44823</xdr:rowOff>
    </xdr:from>
    <xdr:to>
      <xdr:col>0</xdr:col>
      <xdr:colOff>1517371</xdr:colOff>
      <xdr:row>950</xdr:row>
      <xdr:rowOff>-1</xdr:rowOff>
    </xdr:to>
    <xdr:pic>
      <xdr:nvPicPr>
        <xdr:cNvPr id="1214" name="Рисунок 1213">
          <a:extLst>
            <a:ext uri="{FF2B5EF4-FFF2-40B4-BE49-F238E27FC236}">
              <a16:creationId xmlns:a16="http://schemas.microsoft.com/office/drawing/2014/main" xmlns="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371" y="14253882"/>
          <a:ext cx="810000" cy="459441"/>
        </a:xfrm>
        <a:prstGeom prst="rect">
          <a:avLst/>
        </a:prstGeom>
      </xdr:spPr>
    </xdr:pic>
    <xdr:clientData/>
  </xdr:twoCellAnchor>
  <xdr:twoCellAnchor>
    <xdr:from>
      <xdr:col>0</xdr:col>
      <xdr:colOff>810185</xdr:colOff>
      <xdr:row>951</xdr:row>
      <xdr:rowOff>57149</xdr:rowOff>
    </xdr:from>
    <xdr:to>
      <xdr:col>0</xdr:col>
      <xdr:colOff>1362635</xdr:colOff>
      <xdr:row>951</xdr:row>
      <xdr:rowOff>490270</xdr:rowOff>
    </xdr:to>
    <xdr:pic>
      <xdr:nvPicPr>
        <xdr:cNvPr id="1215" name="Рисунок 1214">
          <a:extLst>
            <a:ext uri="{FF2B5EF4-FFF2-40B4-BE49-F238E27FC236}">
              <a16:creationId xmlns:a16="http://schemas.microsoft.com/office/drawing/2014/main" xmlns="" id="{00000000-0008-0000-0000-0000B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2" t="7032" r="18213" b="16406"/>
        <a:stretch/>
      </xdr:blipFill>
      <xdr:spPr>
        <a:xfrm>
          <a:off x="810185" y="493396120"/>
          <a:ext cx="552450" cy="433121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952</xdr:row>
      <xdr:rowOff>28575</xdr:rowOff>
    </xdr:from>
    <xdr:to>
      <xdr:col>0</xdr:col>
      <xdr:colOff>1334060</xdr:colOff>
      <xdr:row>952</xdr:row>
      <xdr:rowOff>461696</xdr:rowOff>
    </xdr:to>
    <xdr:pic>
      <xdr:nvPicPr>
        <xdr:cNvPr id="1216" name="Рисунок 1215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2" t="7032" r="18213" b="16406"/>
        <a:stretch/>
      </xdr:blipFill>
      <xdr:spPr>
        <a:xfrm>
          <a:off x="781610" y="493871810"/>
          <a:ext cx="552450" cy="433121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953</xdr:row>
      <xdr:rowOff>38100</xdr:rowOff>
    </xdr:from>
    <xdr:to>
      <xdr:col>0</xdr:col>
      <xdr:colOff>1334060</xdr:colOff>
      <xdr:row>953</xdr:row>
      <xdr:rowOff>471221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xmlns="" id="{00000000-0008-0000-0000-0000C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2" t="7032" r="18213" b="16406"/>
        <a:stretch/>
      </xdr:blipFill>
      <xdr:spPr>
        <a:xfrm>
          <a:off x="781610" y="494385600"/>
          <a:ext cx="552450" cy="433121"/>
        </a:xfrm>
        <a:prstGeom prst="rect">
          <a:avLst/>
        </a:prstGeom>
      </xdr:spPr>
    </xdr:pic>
    <xdr:clientData/>
  </xdr:twoCellAnchor>
  <xdr:twoCellAnchor>
    <xdr:from>
      <xdr:col>0</xdr:col>
      <xdr:colOff>781610</xdr:colOff>
      <xdr:row>954</xdr:row>
      <xdr:rowOff>47625</xdr:rowOff>
    </xdr:from>
    <xdr:to>
      <xdr:col>0</xdr:col>
      <xdr:colOff>1334060</xdr:colOff>
      <xdr:row>954</xdr:row>
      <xdr:rowOff>480746</xdr:rowOff>
    </xdr:to>
    <xdr:pic>
      <xdr:nvPicPr>
        <xdr:cNvPr id="1218" name="Рисунок 1217">
          <a:extLst>
            <a:ext uri="{FF2B5EF4-FFF2-40B4-BE49-F238E27FC236}">
              <a16:creationId xmlns:a16="http://schemas.microsoft.com/office/drawing/2014/main" xmlns="" id="{00000000-0008-0000-0000-0000C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2" t="7032" r="18213" b="16406"/>
        <a:stretch/>
      </xdr:blipFill>
      <xdr:spPr>
        <a:xfrm>
          <a:off x="781610" y="494899390"/>
          <a:ext cx="552450" cy="433121"/>
        </a:xfrm>
        <a:prstGeom prst="rect">
          <a:avLst/>
        </a:prstGeom>
      </xdr:spPr>
    </xdr:pic>
    <xdr:clientData/>
  </xdr:twoCellAnchor>
  <xdr:twoCellAnchor>
    <xdr:from>
      <xdr:col>0</xdr:col>
      <xdr:colOff>800660</xdr:colOff>
      <xdr:row>955</xdr:row>
      <xdr:rowOff>47625</xdr:rowOff>
    </xdr:from>
    <xdr:to>
      <xdr:col>0</xdr:col>
      <xdr:colOff>1353110</xdr:colOff>
      <xdr:row>955</xdr:row>
      <xdr:rowOff>480746</xdr:rowOff>
    </xdr:to>
    <xdr:pic>
      <xdr:nvPicPr>
        <xdr:cNvPr id="1219" name="Рисунок 1218">
          <a:extLst>
            <a:ext uri="{FF2B5EF4-FFF2-40B4-BE49-F238E27FC236}">
              <a16:creationId xmlns:a16="http://schemas.microsoft.com/office/drawing/2014/main" xmlns="" id="{00000000-0008-0000-0000-0000C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2" t="7032" r="18213" b="16406"/>
        <a:stretch/>
      </xdr:blipFill>
      <xdr:spPr>
        <a:xfrm>
          <a:off x="800660" y="495403654"/>
          <a:ext cx="552450" cy="433121"/>
        </a:xfrm>
        <a:prstGeom prst="rect">
          <a:avLst/>
        </a:prstGeom>
      </xdr:spPr>
    </xdr:pic>
    <xdr:clientData/>
  </xdr:twoCellAnchor>
  <xdr:twoCellAnchor>
    <xdr:from>
      <xdr:col>0</xdr:col>
      <xdr:colOff>791136</xdr:colOff>
      <xdr:row>956</xdr:row>
      <xdr:rowOff>28575</xdr:rowOff>
    </xdr:from>
    <xdr:to>
      <xdr:col>0</xdr:col>
      <xdr:colOff>1372160</xdr:colOff>
      <xdr:row>956</xdr:row>
      <xdr:rowOff>479723</xdr:rowOff>
    </xdr:to>
    <xdr:pic>
      <xdr:nvPicPr>
        <xdr:cNvPr id="1220" name="Рисунок 1219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49" t="8985" r="14795" b="13672"/>
        <a:stretch/>
      </xdr:blipFill>
      <xdr:spPr>
        <a:xfrm>
          <a:off x="791136" y="495888869"/>
          <a:ext cx="581024" cy="451148"/>
        </a:xfrm>
        <a:prstGeom prst="rect">
          <a:avLst/>
        </a:prstGeom>
      </xdr:spPr>
    </xdr:pic>
    <xdr:clientData/>
  </xdr:twoCellAnchor>
  <xdr:twoCellAnchor>
    <xdr:from>
      <xdr:col>0</xdr:col>
      <xdr:colOff>724461</xdr:colOff>
      <xdr:row>957</xdr:row>
      <xdr:rowOff>19051</xdr:rowOff>
    </xdr:from>
    <xdr:to>
      <xdr:col>0</xdr:col>
      <xdr:colOff>1386625</xdr:colOff>
      <xdr:row>957</xdr:row>
      <xdr:rowOff>495300</xdr:rowOff>
    </xdr:to>
    <xdr:pic>
      <xdr:nvPicPr>
        <xdr:cNvPr id="1221" name="Рисунок 1220">
          <a:extLst>
            <a:ext uri="{FF2B5EF4-FFF2-40B4-BE49-F238E27FC236}">
              <a16:creationId xmlns:a16="http://schemas.microsoft.com/office/drawing/2014/main" xmlns="" id="{00000000-0008-0000-0000-0000C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724461" y="496383610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714936</xdr:colOff>
      <xdr:row>958</xdr:row>
      <xdr:rowOff>1</xdr:rowOff>
    </xdr:from>
    <xdr:to>
      <xdr:col>0</xdr:col>
      <xdr:colOff>1377100</xdr:colOff>
      <xdr:row>958</xdr:row>
      <xdr:rowOff>476250</xdr:rowOff>
    </xdr:to>
    <xdr:pic>
      <xdr:nvPicPr>
        <xdr:cNvPr id="1222" name="Рисунок 1221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714936" y="496868825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705411</xdr:colOff>
      <xdr:row>959</xdr:row>
      <xdr:rowOff>9526</xdr:rowOff>
    </xdr:from>
    <xdr:to>
      <xdr:col>0</xdr:col>
      <xdr:colOff>1367575</xdr:colOff>
      <xdr:row>959</xdr:row>
      <xdr:rowOff>485775</xdr:rowOff>
    </xdr:to>
    <xdr:pic>
      <xdr:nvPicPr>
        <xdr:cNvPr id="1223" name="Рисунок 1222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705411" y="497382614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686361</xdr:colOff>
      <xdr:row>960</xdr:row>
      <xdr:rowOff>9526</xdr:rowOff>
    </xdr:from>
    <xdr:to>
      <xdr:col>0</xdr:col>
      <xdr:colOff>1348525</xdr:colOff>
      <xdr:row>960</xdr:row>
      <xdr:rowOff>485775</xdr:rowOff>
    </xdr:to>
    <xdr:pic>
      <xdr:nvPicPr>
        <xdr:cNvPr id="1224" name="Рисунок 1223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686361" y="497886879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667311</xdr:colOff>
      <xdr:row>961</xdr:row>
      <xdr:rowOff>9526</xdr:rowOff>
    </xdr:from>
    <xdr:to>
      <xdr:col>0</xdr:col>
      <xdr:colOff>1329475</xdr:colOff>
      <xdr:row>961</xdr:row>
      <xdr:rowOff>485775</xdr:rowOff>
    </xdr:to>
    <xdr:pic>
      <xdr:nvPicPr>
        <xdr:cNvPr id="1225" name="Рисунок 1224">
          <a:extLst>
            <a:ext uri="{FF2B5EF4-FFF2-40B4-BE49-F238E27FC236}">
              <a16:creationId xmlns:a16="http://schemas.microsoft.com/office/drawing/2014/main" xmlns="" id="{00000000-0008-0000-0000-0000C9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667311" y="498391144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695885</xdr:colOff>
      <xdr:row>962</xdr:row>
      <xdr:rowOff>4527</xdr:rowOff>
    </xdr:from>
    <xdr:to>
      <xdr:col>0</xdr:col>
      <xdr:colOff>1343585</xdr:colOff>
      <xdr:row>963</xdr:row>
      <xdr:rowOff>9526</xdr:rowOff>
    </xdr:to>
    <xdr:pic>
      <xdr:nvPicPr>
        <xdr:cNvPr id="1226" name="Рисунок 1225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35" t="10570" r="25049" b="16360"/>
        <a:stretch/>
      </xdr:blipFill>
      <xdr:spPr>
        <a:xfrm>
          <a:off x="695885" y="498890409"/>
          <a:ext cx="647700" cy="509264"/>
        </a:xfrm>
        <a:prstGeom prst="rect">
          <a:avLst/>
        </a:prstGeom>
      </xdr:spPr>
    </xdr:pic>
    <xdr:clientData/>
  </xdr:twoCellAnchor>
  <xdr:twoCellAnchor>
    <xdr:from>
      <xdr:col>0</xdr:col>
      <xdr:colOff>772085</xdr:colOff>
      <xdr:row>963</xdr:row>
      <xdr:rowOff>19050</xdr:rowOff>
    </xdr:from>
    <xdr:to>
      <xdr:col>0</xdr:col>
      <xdr:colOff>1385935</xdr:colOff>
      <xdr:row>963</xdr:row>
      <xdr:rowOff>476250</xdr:rowOff>
    </xdr:to>
    <xdr:pic>
      <xdr:nvPicPr>
        <xdr:cNvPr id="1227" name="Рисунок 1226">
          <a:extLst>
            <a:ext uri="{FF2B5EF4-FFF2-40B4-BE49-F238E27FC236}">
              <a16:creationId xmlns:a16="http://schemas.microsoft.com/office/drawing/2014/main" xmlns="" id="{00000000-0008-0000-0000-0000C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6687" r="7227" b="20348"/>
        <a:stretch/>
      </xdr:blipFill>
      <xdr:spPr>
        <a:xfrm>
          <a:off x="772085" y="499409197"/>
          <a:ext cx="613850" cy="457200"/>
        </a:xfrm>
        <a:prstGeom prst="rect">
          <a:avLst/>
        </a:prstGeom>
      </xdr:spPr>
    </xdr:pic>
    <xdr:clientData/>
  </xdr:twoCellAnchor>
  <xdr:twoCellAnchor>
    <xdr:from>
      <xdr:col>0</xdr:col>
      <xdr:colOff>762560</xdr:colOff>
      <xdr:row>964</xdr:row>
      <xdr:rowOff>19050</xdr:rowOff>
    </xdr:from>
    <xdr:to>
      <xdr:col>0</xdr:col>
      <xdr:colOff>1376410</xdr:colOff>
      <xdr:row>964</xdr:row>
      <xdr:rowOff>476250</xdr:rowOff>
    </xdr:to>
    <xdr:pic>
      <xdr:nvPicPr>
        <xdr:cNvPr id="1228" name="Рисунок 1227">
          <a:extLst>
            <a:ext uri="{FF2B5EF4-FFF2-40B4-BE49-F238E27FC236}">
              <a16:creationId xmlns:a16="http://schemas.microsoft.com/office/drawing/2014/main" xmlns="" id="{00000000-0008-0000-0000-0000C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6687" r="7227" b="20348"/>
        <a:stretch/>
      </xdr:blipFill>
      <xdr:spPr>
        <a:xfrm>
          <a:off x="762560" y="499913462"/>
          <a:ext cx="613850" cy="457200"/>
        </a:xfrm>
        <a:prstGeom prst="rect">
          <a:avLst/>
        </a:prstGeom>
      </xdr:spPr>
    </xdr:pic>
    <xdr:clientData/>
  </xdr:twoCellAnchor>
  <xdr:twoCellAnchor>
    <xdr:from>
      <xdr:col>0</xdr:col>
      <xdr:colOff>762560</xdr:colOff>
      <xdr:row>965</xdr:row>
      <xdr:rowOff>19050</xdr:rowOff>
    </xdr:from>
    <xdr:to>
      <xdr:col>0</xdr:col>
      <xdr:colOff>1376410</xdr:colOff>
      <xdr:row>965</xdr:row>
      <xdr:rowOff>476250</xdr:rowOff>
    </xdr:to>
    <xdr:pic>
      <xdr:nvPicPr>
        <xdr:cNvPr id="1229" name="Рисунок 1228">
          <a:extLst>
            <a:ext uri="{FF2B5EF4-FFF2-40B4-BE49-F238E27FC236}">
              <a16:creationId xmlns:a16="http://schemas.microsoft.com/office/drawing/2014/main" xmlns="" id="{00000000-0008-0000-0000-0000C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6687" r="7227" b="20348"/>
        <a:stretch/>
      </xdr:blipFill>
      <xdr:spPr>
        <a:xfrm>
          <a:off x="762560" y="500417726"/>
          <a:ext cx="613850" cy="457200"/>
        </a:xfrm>
        <a:prstGeom prst="rect">
          <a:avLst/>
        </a:prstGeom>
      </xdr:spPr>
    </xdr:pic>
    <xdr:clientData/>
  </xdr:twoCellAnchor>
  <xdr:twoCellAnchor>
    <xdr:from>
      <xdr:col>0</xdr:col>
      <xdr:colOff>762560</xdr:colOff>
      <xdr:row>966</xdr:row>
      <xdr:rowOff>19050</xdr:rowOff>
    </xdr:from>
    <xdr:to>
      <xdr:col>0</xdr:col>
      <xdr:colOff>1376410</xdr:colOff>
      <xdr:row>966</xdr:row>
      <xdr:rowOff>476250</xdr:rowOff>
    </xdr:to>
    <xdr:pic>
      <xdr:nvPicPr>
        <xdr:cNvPr id="1230" name="Рисунок 1229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6687" r="7227" b="20348"/>
        <a:stretch/>
      </xdr:blipFill>
      <xdr:spPr>
        <a:xfrm>
          <a:off x="762560" y="500921991"/>
          <a:ext cx="613850" cy="457200"/>
        </a:xfrm>
        <a:prstGeom prst="rect">
          <a:avLst/>
        </a:prstGeom>
      </xdr:spPr>
    </xdr:pic>
    <xdr:clientData/>
  </xdr:twoCellAnchor>
  <xdr:twoCellAnchor>
    <xdr:from>
      <xdr:col>0</xdr:col>
      <xdr:colOff>762560</xdr:colOff>
      <xdr:row>967</xdr:row>
      <xdr:rowOff>19050</xdr:rowOff>
    </xdr:from>
    <xdr:to>
      <xdr:col>0</xdr:col>
      <xdr:colOff>1376410</xdr:colOff>
      <xdr:row>967</xdr:row>
      <xdr:rowOff>476250</xdr:rowOff>
    </xdr:to>
    <xdr:pic>
      <xdr:nvPicPr>
        <xdr:cNvPr id="1231" name="Рисунок 1230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6687" r="7227" b="20348"/>
        <a:stretch/>
      </xdr:blipFill>
      <xdr:spPr>
        <a:xfrm>
          <a:off x="762560" y="501426256"/>
          <a:ext cx="613850" cy="457200"/>
        </a:xfrm>
        <a:prstGeom prst="rect">
          <a:avLst/>
        </a:prstGeom>
      </xdr:spPr>
    </xdr:pic>
    <xdr:clientData/>
  </xdr:twoCellAnchor>
  <xdr:twoCellAnchor>
    <xdr:from>
      <xdr:col>0</xdr:col>
      <xdr:colOff>743510</xdr:colOff>
      <xdr:row>968</xdr:row>
      <xdr:rowOff>9524</xdr:rowOff>
    </xdr:from>
    <xdr:to>
      <xdr:col>0</xdr:col>
      <xdr:colOff>1360509</xdr:colOff>
      <xdr:row>968</xdr:row>
      <xdr:rowOff>466725</xdr:rowOff>
    </xdr:to>
    <xdr:pic>
      <xdr:nvPicPr>
        <xdr:cNvPr id="1232" name="Рисунок 1231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22" r="14307" b="19531"/>
        <a:stretch/>
      </xdr:blipFill>
      <xdr:spPr>
        <a:xfrm>
          <a:off x="743510" y="501920995"/>
          <a:ext cx="616999" cy="457201"/>
        </a:xfrm>
        <a:prstGeom prst="rect">
          <a:avLst/>
        </a:prstGeom>
      </xdr:spPr>
    </xdr:pic>
    <xdr:clientData/>
  </xdr:twoCellAnchor>
  <xdr:twoCellAnchor>
    <xdr:from>
      <xdr:col>0</xdr:col>
      <xdr:colOff>705410</xdr:colOff>
      <xdr:row>969</xdr:row>
      <xdr:rowOff>19051</xdr:rowOff>
    </xdr:from>
    <xdr:to>
      <xdr:col>0</xdr:col>
      <xdr:colOff>1429310</xdr:colOff>
      <xdr:row>969</xdr:row>
      <xdr:rowOff>481929</xdr:rowOff>
    </xdr:to>
    <xdr:pic>
      <xdr:nvPicPr>
        <xdr:cNvPr id="1233" name="Рисунок 1232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584" b="13636"/>
        <a:stretch/>
      </xdr:blipFill>
      <xdr:spPr>
        <a:xfrm>
          <a:off x="705410" y="502434786"/>
          <a:ext cx="723900" cy="462878"/>
        </a:xfrm>
        <a:prstGeom prst="rect">
          <a:avLst/>
        </a:prstGeom>
      </xdr:spPr>
    </xdr:pic>
    <xdr:clientData/>
  </xdr:twoCellAnchor>
  <xdr:twoCellAnchor>
    <xdr:from>
      <xdr:col>0</xdr:col>
      <xdr:colOff>695885</xdr:colOff>
      <xdr:row>970</xdr:row>
      <xdr:rowOff>9525</xdr:rowOff>
    </xdr:from>
    <xdr:to>
      <xdr:col>0</xdr:col>
      <xdr:colOff>1419785</xdr:colOff>
      <xdr:row>970</xdr:row>
      <xdr:rowOff>472403</xdr:rowOff>
    </xdr:to>
    <xdr:pic>
      <xdr:nvPicPr>
        <xdr:cNvPr id="1234" name="Рисунок 1233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584" b="13636"/>
        <a:stretch/>
      </xdr:blipFill>
      <xdr:spPr>
        <a:xfrm>
          <a:off x="695885" y="502929525"/>
          <a:ext cx="723900" cy="462878"/>
        </a:xfrm>
        <a:prstGeom prst="rect">
          <a:avLst/>
        </a:prstGeom>
      </xdr:spPr>
    </xdr:pic>
    <xdr:clientData/>
  </xdr:twoCellAnchor>
  <xdr:twoCellAnchor>
    <xdr:from>
      <xdr:col>0</xdr:col>
      <xdr:colOff>695885</xdr:colOff>
      <xdr:row>971</xdr:row>
      <xdr:rowOff>9525</xdr:rowOff>
    </xdr:from>
    <xdr:to>
      <xdr:col>0</xdr:col>
      <xdr:colOff>1419785</xdr:colOff>
      <xdr:row>971</xdr:row>
      <xdr:rowOff>472403</xdr:rowOff>
    </xdr:to>
    <xdr:pic>
      <xdr:nvPicPr>
        <xdr:cNvPr id="1235" name="Рисунок 1234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584" b="13636"/>
        <a:stretch/>
      </xdr:blipFill>
      <xdr:spPr>
        <a:xfrm>
          <a:off x="695885" y="503433790"/>
          <a:ext cx="723900" cy="462878"/>
        </a:xfrm>
        <a:prstGeom prst="rect">
          <a:avLst/>
        </a:prstGeom>
      </xdr:spPr>
    </xdr:pic>
    <xdr:clientData/>
  </xdr:twoCellAnchor>
  <xdr:twoCellAnchor>
    <xdr:from>
      <xdr:col>0</xdr:col>
      <xdr:colOff>695885</xdr:colOff>
      <xdr:row>972</xdr:row>
      <xdr:rowOff>9525</xdr:rowOff>
    </xdr:from>
    <xdr:to>
      <xdr:col>0</xdr:col>
      <xdr:colOff>1419785</xdr:colOff>
      <xdr:row>972</xdr:row>
      <xdr:rowOff>472403</xdr:rowOff>
    </xdr:to>
    <xdr:pic>
      <xdr:nvPicPr>
        <xdr:cNvPr id="1236" name="Рисунок 1235">
          <a:extLst>
            <a:ext uri="{FF2B5EF4-FFF2-40B4-BE49-F238E27FC236}">
              <a16:creationId xmlns:a16="http://schemas.microsoft.com/office/drawing/2014/main" xmlns="" id="{00000000-0008-0000-0000-0000D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584" b="13636"/>
        <a:stretch/>
      </xdr:blipFill>
      <xdr:spPr>
        <a:xfrm>
          <a:off x="695885" y="503938054"/>
          <a:ext cx="723900" cy="462878"/>
        </a:xfrm>
        <a:prstGeom prst="rect">
          <a:avLst/>
        </a:prstGeom>
      </xdr:spPr>
    </xdr:pic>
    <xdr:clientData/>
  </xdr:twoCellAnchor>
  <xdr:twoCellAnchor>
    <xdr:from>
      <xdr:col>0</xdr:col>
      <xdr:colOff>695885</xdr:colOff>
      <xdr:row>973</xdr:row>
      <xdr:rowOff>9525</xdr:rowOff>
    </xdr:from>
    <xdr:to>
      <xdr:col>0</xdr:col>
      <xdr:colOff>1419785</xdr:colOff>
      <xdr:row>973</xdr:row>
      <xdr:rowOff>472403</xdr:rowOff>
    </xdr:to>
    <xdr:pic>
      <xdr:nvPicPr>
        <xdr:cNvPr id="1237" name="Рисунок 1236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584" b="13636"/>
        <a:stretch/>
      </xdr:blipFill>
      <xdr:spPr>
        <a:xfrm>
          <a:off x="695885" y="504442319"/>
          <a:ext cx="723900" cy="462878"/>
        </a:xfrm>
        <a:prstGeom prst="rect">
          <a:avLst/>
        </a:prstGeom>
      </xdr:spPr>
    </xdr:pic>
    <xdr:clientData/>
  </xdr:twoCellAnchor>
  <xdr:twoCellAnchor>
    <xdr:from>
      <xdr:col>0</xdr:col>
      <xdr:colOff>657785</xdr:colOff>
      <xdr:row>974</xdr:row>
      <xdr:rowOff>31285</xdr:rowOff>
    </xdr:from>
    <xdr:to>
      <xdr:col>0</xdr:col>
      <xdr:colOff>1410260</xdr:colOff>
      <xdr:row>974</xdr:row>
      <xdr:rowOff>497267</xdr:rowOff>
    </xdr:to>
    <xdr:pic>
      <xdr:nvPicPr>
        <xdr:cNvPr id="1238" name="Рисунок 1237">
          <a:extLst>
            <a:ext uri="{FF2B5EF4-FFF2-40B4-BE49-F238E27FC236}">
              <a16:creationId xmlns:a16="http://schemas.microsoft.com/office/drawing/2014/main" xmlns="" id="{00000000-0008-0000-0000-0000D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74" r="14308" b="11320"/>
        <a:stretch/>
      </xdr:blipFill>
      <xdr:spPr>
        <a:xfrm>
          <a:off x="657785" y="504968344"/>
          <a:ext cx="752475" cy="465982"/>
        </a:xfrm>
        <a:prstGeom prst="rect">
          <a:avLst/>
        </a:prstGeom>
      </xdr:spPr>
    </xdr:pic>
    <xdr:clientData/>
  </xdr:twoCellAnchor>
  <xdr:twoCellAnchor>
    <xdr:from>
      <xdr:col>0</xdr:col>
      <xdr:colOff>695885</xdr:colOff>
      <xdr:row>975</xdr:row>
      <xdr:rowOff>38101</xdr:rowOff>
    </xdr:from>
    <xdr:to>
      <xdr:col>0</xdr:col>
      <xdr:colOff>1389807</xdr:colOff>
      <xdr:row>975</xdr:row>
      <xdr:rowOff>476250</xdr:rowOff>
    </xdr:to>
    <xdr:pic>
      <xdr:nvPicPr>
        <xdr:cNvPr id="1239" name="Рисунок 1238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9" r="17373" b="13136"/>
        <a:stretch/>
      </xdr:blipFill>
      <xdr:spPr>
        <a:xfrm>
          <a:off x="695885" y="505479425"/>
          <a:ext cx="693922" cy="438149"/>
        </a:xfrm>
        <a:prstGeom prst="rect">
          <a:avLst/>
        </a:prstGeom>
      </xdr:spPr>
    </xdr:pic>
    <xdr:clientData/>
  </xdr:twoCellAnchor>
  <xdr:twoCellAnchor>
    <xdr:from>
      <xdr:col>0</xdr:col>
      <xdr:colOff>714935</xdr:colOff>
      <xdr:row>976</xdr:row>
      <xdr:rowOff>19050</xdr:rowOff>
    </xdr:from>
    <xdr:to>
      <xdr:col>0</xdr:col>
      <xdr:colOff>1408857</xdr:colOff>
      <xdr:row>976</xdr:row>
      <xdr:rowOff>457199</xdr:rowOff>
    </xdr:to>
    <xdr:pic>
      <xdr:nvPicPr>
        <xdr:cNvPr id="1240" name="Рисунок 1239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9" r="17373" b="13136"/>
        <a:stretch/>
      </xdr:blipFill>
      <xdr:spPr>
        <a:xfrm>
          <a:off x="714935" y="505964638"/>
          <a:ext cx="693922" cy="438149"/>
        </a:xfrm>
        <a:prstGeom prst="rect">
          <a:avLst/>
        </a:prstGeom>
      </xdr:spPr>
    </xdr:pic>
    <xdr:clientData/>
  </xdr:twoCellAnchor>
  <xdr:twoCellAnchor>
    <xdr:from>
      <xdr:col>0</xdr:col>
      <xdr:colOff>714935</xdr:colOff>
      <xdr:row>977</xdr:row>
      <xdr:rowOff>19050</xdr:rowOff>
    </xdr:from>
    <xdr:to>
      <xdr:col>0</xdr:col>
      <xdr:colOff>1408857</xdr:colOff>
      <xdr:row>977</xdr:row>
      <xdr:rowOff>457199</xdr:rowOff>
    </xdr:to>
    <xdr:pic>
      <xdr:nvPicPr>
        <xdr:cNvPr id="1241" name="Рисунок 1240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9" r="17373" b="13136"/>
        <a:stretch/>
      </xdr:blipFill>
      <xdr:spPr>
        <a:xfrm>
          <a:off x="714935" y="506468903"/>
          <a:ext cx="693922" cy="438149"/>
        </a:xfrm>
        <a:prstGeom prst="rect">
          <a:avLst/>
        </a:prstGeom>
      </xdr:spPr>
    </xdr:pic>
    <xdr:clientData/>
  </xdr:twoCellAnchor>
  <xdr:twoCellAnchor>
    <xdr:from>
      <xdr:col>0</xdr:col>
      <xdr:colOff>714935</xdr:colOff>
      <xdr:row>978</xdr:row>
      <xdr:rowOff>19050</xdr:rowOff>
    </xdr:from>
    <xdr:to>
      <xdr:col>0</xdr:col>
      <xdr:colOff>1408857</xdr:colOff>
      <xdr:row>978</xdr:row>
      <xdr:rowOff>457199</xdr:rowOff>
    </xdr:to>
    <xdr:pic>
      <xdr:nvPicPr>
        <xdr:cNvPr id="1242" name="Рисунок 1241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9" r="17373" b="13136"/>
        <a:stretch/>
      </xdr:blipFill>
      <xdr:spPr>
        <a:xfrm>
          <a:off x="714935" y="506973168"/>
          <a:ext cx="693922" cy="438149"/>
        </a:xfrm>
        <a:prstGeom prst="rect">
          <a:avLst/>
        </a:prstGeom>
      </xdr:spPr>
    </xdr:pic>
    <xdr:clientData/>
  </xdr:twoCellAnchor>
  <xdr:twoCellAnchor>
    <xdr:from>
      <xdr:col>0</xdr:col>
      <xdr:colOff>714935</xdr:colOff>
      <xdr:row>979</xdr:row>
      <xdr:rowOff>19050</xdr:rowOff>
    </xdr:from>
    <xdr:to>
      <xdr:col>0</xdr:col>
      <xdr:colOff>1408857</xdr:colOff>
      <xdr:row>979</xdr:row>
      <xdr:rowOff>457199</xdr:rowOff>
    </xdr:to>
    <xdr:pic>
      <xdr:nvPicPr>
        <xdr:cNvPr id="1243" name="Рисунок 1242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9" r="17373" b="13136"/>
        <a:stretch/>
      </xdr:blipFill>
      <xdr:spPr>
        <a:xfrm>
          <a:off x="714935" y="507477432"/>
          <a:ext cx="693922" cy="438149"/>
        </a:xfrm>
        <a:prstGeom prst="rect">
          <a:avLst/>
        </a:prstGeom>
      </xdr:spPr>
    </xdr:pic>
    <xdr:clientData/>
  </xdr:twoCellAnchor>
  <xdr:twoCellAnchor>
    <xdr:from>
      <xdr:col>0</xdr:col>
      <xdr:colOff>686360</xdr:colOff>
      <xdr:row>980</xdr:row>
      <xdr:rowOff>23992</xdr:rowOff>
    </xdr:from>
    <xdr:to>
      <xdr:col>0</xdr:col>
      <xdr:colOff>1515035</xdr:colOff>
      <xdr:row>980</xdr:row>
      <xdr:rowOff>495300</xdr:rowOff>
    </xdr:to>
    <xdr:pic>
      <xdr:nvPicPr>
        <xdr:cNvPr id="1244" name="Рисунок 1243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727" b="17273"/>
        <a:stretch/>
      </xdr:blipFill>
      <xdr:spPr>
        <a:xfrm>
          <a:off x="686360" y="507986639"/>
          <a:ext cx="828675" cy="471308"/>
        </a:xfrm>
        <a:prstGeom prst="rect">
          <a:avLst/>
        </a:prstGeom>
      </xdr:spPr>
    </xdr:pic>
    <xdr:clientData/>
  </xdr:twoCellAnchor>
  <xdr:twoCellAnchor>
    <xdr:from>
      <xdr:col>0</xdr:col>
      <xdr:colOff>922239</xdr:colOff>
      <xdr:row>1166</xdr:row>
      <xdr:rowOff>43142</xdr:rowOff>
    </xdr:from>
    <xdr:to>
      <xdr:col>0</xdr:col>
      <xdr:colOff>1427068</xdr:colOff>
      <xdr:row>1167</xdr:row>
      <xdr:rowOff>13740</xdr:rowOff>
    </xdr:to>
    <xdr:pic>
      <xdr:nvPicPr>
        <xdr:cNvPr id="1245" name="Рисунок 1244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22239" y="525655054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950819</xdr:colOff>
      <xdr:row>1167</xdr:row>
      <xdr:rowOff>52667</xdr:rowOff>
    </xdr:from>
    <xdr:to>
      <xdr:col>0</xdr:col>
      <xdr:colOff>1455648</xdr:colOff>
      <xdr:row>1168</xdr:row>
      <xdr:rowOff>23264</xdr:rowOff>
    </xdr:to>
    <xdr:pic>
      <xdr:nvPicPr>
        <xdr:cNvPr id="1246" name="Рисунок 1245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50819" y="526168843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950819</xdr:colOff>
      <xdr:row>1168</xdr:row>
      <xdr:rowOff>52667</xdr:rowOff>
    </xdr:from>
    <xdr:to>
      <xdr:col>0</xdr:col>
      <xdr:colOff>1455648</xdr:colOff>
      <xdr:row>1169</xdr:row>
      <xdr:rowOff>23264</xdr:rowOff>
    </xdr:to>
    <xdr:pic>
      <xdr:nvPicPr>
        <xdr:cNvPr id="1247" name="Рисунок 1246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50819" y="526673108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950819</xdr:colOff>
      <xdr:row>1169</xdr:row>
      <xdr:rowOff>52667</xdr:rowOff>
    </xdr:from>
    <xdr:to>
      <xdr:col>0</xdr:col>
      <xdr:colOff>1455648</xdr:colOff>
      <xdr:row>1170</xdr:row>
      <xdr:rowOff>23264</xdr:rowOff>
    </xdr:to>
    <xdr:pic>
      <xdr:nvPicPr>
        <xdr:cNvPr id="1248" name="Рисунок 1247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50819" y="527177373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950819</xdr:colOff>
      <xdr:row>1170</xdr:row>
      <xdr:rowOff>52667</xdr:rowOff>
    </xdr:from>
    <xdr:to>
      <xdr:col>0</xdr:col>
      <xdr:colOff>1455648</xdr:colOff>
      <xdr:row>1171</xdr:row>
      <xdr:rowOff>23265</xdr:rowOff>
    </xdr:to>
    <xdr:pic>
      <xdr:nvPicPr>
        <xdr:cNvPr id="1249" name="Рисунок 1248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50819" y="527681638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950819</xdr:colOff>
      <xdr:row>1171</xdr:row>
      <xdr:rowOff>52667</xdr:rowOff>
    </xdr:from>
    <xdr:to>
      <xdr:col>0</xdr:col>
      <xdr:colOff>1455648</xdr:colOff>
      <xdr:row>1172</xdr:row>
      <xdr:rowOff>23264</xdr:rowOff>
    </xdr:to>
    <xdr:pic>
      <xdr:nvPicPr>
        <xdr:cNvPr id="1250" name="Рисунок 1249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50819" y="528185902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950819</xdr:colOff>
      <xdr:row>1172</xdr:row>
      <xdr:rowOff>52667</xdr:rowOff>
    </xdr:from>
    <xdr:to>
      <xdr:col>0</xdr:col>
      <xdr:colOff>1455648</xdr:colOff>
      <xdr:row>1173</xdr:row>
      <xdr:rowOff>23264</xdr:rowOff>
    </xdr:to>
    <xdr:pic>
      <xdr:nvPicPr>
        <xdr:cNvPr id="1251" name="Рисунок 1250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50819" y="528690167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950819</xdr:colOff>
      <xdr:row>1173</xdr:row>
      <xdr:rowOff>52667</xdr:rowOff>
    </xdr:from>
    <xdr:to>
      <xdr:col>0</xdr:col>
      <xdr:colOff>1455648</xdr:colOff>
      <xdr:row>1174</xdr:row>
      <xdr:rowOff>23265</xdr:rowOff>
    </xdr:to>
    <xdr:pic>
      <xdr:nvPicPr>
        <xdr:cNvPr id="1252" name="Рисунок 1251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50819" y="529194432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950819</xdr:colOff>
      <xdr:row>1174</xdr:row>
      <xdr:rowOff>52667</xdr:rowOff>
    </xdr:from>
    <xdr:to>
      <xdr:col>0</xdr:col>
      <xdr:colOff>1455648</xdr:colOff>
      <xdr:row>1175</xdr:row>
      <xdr:rowOff>23264</xdr:rowOff>
    </xdr:to>
    <xdr:pic>
      <xdr:nvPicPr>
        <xdr:cNvPr id="1253" name="Рисунок 1252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50819" y="529698696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950819</xdr:colOff>
      <xdr:row>1175</xdr:row>
      <xdr:rowOff>52667</xdr:rowOff>
    </xdr:from>
    <xdr:to>
      <xdr:col>0</xdr:col>
      <xdr:colOff>1455648</xdr:colOff>
      <xdr:row>1176</xdr:row>
      <xdr:rowOff>23264</xdr:rowOff>
    </xdr:to>
    <xdr:pic>
      <xdr:nvPicPr>
        <xdr:cNvPr id="1254" name="Рисунок 1253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50819" y="530202961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950819</xdr:colOff>
      <xdr:row>1176</xdr:row>
      <xdr:rowOff>52667</xdr:rowOff>
    </xdr:from>
    <xdr:to>
      <xdr:col>0</xdr:col>
      <xdr:colOff>1455648</xdr:colOff>
      <xdr:row>1177</xdr:row>
      <xdr:rowOff>23264</xdr:rowOff>
    </xdr:to>
    <xdr:pic>
      <xdr:nvPicPr>
        <xdr:cNvPr id="1255" name="Рисунок 1254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50819" y="530707226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950819</xdr:colOff>
      <xdr:row>1177</xdr:row>
      <xdr:rowOff>52667</xdr:rowOff>
    </xdr:from>
    <xdr:to>
      <xdr:col>0</xdr:col>
      <xdr:colOff>1455648</xdr:colOff>
      <xdr:row>1178</xdr:row>
      <xdr:rowOff>23265</xdr:rowOff>
    </xdr:to>
    <xdr:pic>
      <xdr:nvPicPr>
        <xdr:cNvPr id="1256" name="Рисунок 1255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03" t="13998" r="30030" b="18945"/>
        <a:stretch/>
      </xdr:blipFill>
      <xdr:spPr>
        <a:xfrm flipH="1">
          <a:off x="950819" y="531211491"/>
          <a:ext cx="504829" cy="474862"/>
        </a:xfrm>
        <a:prstGeom prst="rect">
          <a:avLst/>
        </a:prstGeom>
      </xdr:spPr>
    </xdr:pic>
    <xdr:clientData/>
  </xdr:twoCellAnchor>
  <xdr:twoCellAnchor>
    <xdr:from>
      <xdr:col>0</xdr:col>
      <xdr:colOff>47065</xdr:colOff>
      <xdr:row>1077</xdr:row>
      <xdr:rowOff>107430</xdr:rowOff>
    </xdr:from>
    <xdr:to>
      <xdr:col>0</xdr:col>
      <xdr:colOff>2017059</xdr:colOff>
      <xdr:row>1079</xdr:row>
      <xdr:rowOff>149603</xdr:rowOff>
    </xdr:to>
    <xdr:pic>
      <xdr:nvPicPr>
        <xdr:cNvPr id="1257" name="Рисунок 1256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01" t="11718" r="17481"/>
        <a:stretch/>
      </xdr:blipFill>
      <xdr:spPr>
        <a:xfrm>
          <a:off x="47065" y="510591401"/>
          <a:ext cx="1969994" cy="10507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1078</xdr:row>
      <xdr:rowOff>99174</xdr:rowOff>
    </xdr:from>
    <xdr:to>
      <xdr:col>1</xdr:col>
      <xdr:colOff>396657</xdr:colOff>
      <xdr:row>1082</xdr:row>
      <xdr:rowOff>313764</xdr:rowOff>
    </xdr:to>
    <xdr:pic>
      <xdr:nvPicPr>
        <xdr:cNvPr id="1258" name="Рисунок 1257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42" t="6641" r="-1317" b="-6641"/>
        <a:stretch/>
      </xdr:blipFill>
      <xdr:spPr>
        <a:xfrm>
          <a:off x="0" y="511087409"/>
          <a:ext cx="2817128" cy="17273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1083</xdr:row>
      <xdr:rowOff>58272</xdr:rowOff>
    </xdr:from>
    <xdr:to>
      <xdr:col>1</xdr:col>
      <xdr:colOff>22411</xdr:colOff>
      <xdr:row>1084</xdr:row>
      <xdr:rowOff>450211</xdr:rowOff>
    </xdr:to>
    <xdr:pic>
      <xdr:nvPicPr>
        <xdr:cNvPr id="1259" name="Рисунок 1258">
          <a:extLst>
            <a:ext uri="{FF2B5EF4-FFF2-40B4-BE49-F238E27FC236}">
              <a16:creationId xmlns:a16="http://schemas.microsoft.com/office/drawing/2014/main" xmlns="" id="{00000000-0008-0000-0000-0000EB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65" t="23045" r="6494" b="16799"/>
        <a:stretch/>
      </xdr:blipFill>
      <xdr:spPr>
        <a:xfrm>
          <a:off x="0" y="513063566"/>
          <a:ext cx="2442882" cy="8962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1086</xdr:row>
      <xdr:rowOff>14151</xdr:rowOff>
    </xdr:from>
    <xdr:to>
      <xdr:col>1</xdr:col>
      <xdr:colOff>11205</xdr:colOff>
      <xdr:row>1089</xdr:row>
      <xdr:rowOff>302564</xdr:rowOff>
    </xdr:to>
    <xdr:pic>
      <xdr:nvPicPr>
        <xdr:cNvPr id="1260" name="Рисунок 1259">
          <a:extLst>
            <a:ext uri="{FF2B5EF4-FFF2-40B4-BE49-F238E27FC236}">
              <a16:creationId xmlns:a16="http://schemas.microsoft.com/office/drawing/2014/main" xmlns="" id="{00000000-0008-0000-0000-0000EC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01" t="11718" r="17481"/>
        <a:stretch/>
      </xdr:blipFill>
      <xdr:spPr>
        <a:xfrm>
          <a:off x="0" y="15646357"/>
          <a:ext cx="2431676" cy="12969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1089</xdr:row>
      <xdr:rowOff>443192</xdr:rowOff>
    </xdr:from>
    <xdr:to>
      <xdr:col>1</xdr:col>
      <xdr:colOff>291353</xdr:colOff>
      <xdr:row>1094</xdr:row>
      <xdr:rowOff>88568</xdr:rowOff>
    </xdr:to>
    <xdr:pic>
      <xdr:nvPicPr>
        <xdr:cNvPr id="1261" name="Рисунок 1260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42" t="6641" r="-1317" b="-6641"/>
        <a:stretch/>
      </xdr:blipFill>
      <xdr:spPr>
        <a:xfrm>
          <a:off x="0" y="515969810"/>
          <a:ext cx="2711824" cy="16624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1095</xdr:row>
      <xdr:rowOff>222439</xdr:rowOff>
    </xdr:from>
    <xdr:to>
      <xdr:col>1</xdr:col>
      <xdr:colOff>33617</xdr:colOff>
      <xdr:row>1097</xdr:row>
      <xdr:rowOff>114224</xdr:rowOff>
    </xdr:to>
    <xdr:pic>
      <xdr:nvPicPr>
        <xdr:cNvPr id="1262" name="Рисунок 1261">
          <a:extLst>
            <a:ext uri="{FF2B5EF4-FFF2-40B4-BE49-F238E27FC236}">
              <a16:creationId xmlns:a16="http://schemas.microsoft.com/office/drawing/2014/main" xmlns="" id="{00000000-0008-0000-0000-0000E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65" t="23045" r="6494" b="16799"/>
        <a:stretch/>
      </xdr:blipFill>
      <xdr:spPr>
        <a:xfrm>
          <a:off x="0" y="19384498"/>
          <a:ext cx="2454088" cy="9003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1100</xdr:row>
      <xdr:rowOff>67236</xdr:rowOff>
    </xdr:from>
    <xdr:to>
      <xdr:col>1</xdr:col>
      <xdr:colOff>27218</xdr:colOff>
      <xdr:row>1102</xdr:row>
      <xdr:rowOff>358589</xdr:rowOff>
    </xdr:to>
    <xdr:pic>
      <xdr:nvPicPr>
        <xdr:cNvPr id="1263" name="Рисунок 1262">
          <a:extLst>
            <a:ext uri="{FF2B5EF4-FFF2-40B4-BE49-F238E27FC236}">
              <a16:creationId xmlns:a16="http://schemas.microsoft.com/office/drawing/2014/main" xmlns="" id="{00000000-0008-0000-0000-0000EF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01" t="11718" r="17481"/>
        <a:stretch/>
      </xdr:blipFill>
      <xdr:spPr>
        <a:xfrm>
          <a:off x="0" y="21246354"/>
          <a:ext cx="2447689" cy="12998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1103</xdr:row>
      <xdr:rowOff>207309</xdr:rowOff>
    </xdr:from>
    <xdr:to>
      <xdr:col>1</xdr:col>
      <xdr:colOff>38414</xdr:colOff>
      <xdr:row>1106</xdr:row>
      <xdr:rowOff>100854</xdr:rowOff>
    </xdr:to>
    <xdr:pic>
      <xdr:nvPicPr>
        <xdr:cNvPr id="1264" name="Рисунок 1263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65" t="23045" r="6494" b="16799"/>
        <a:stretch/>
      </xdr:blipFill>
      <xdr:spPr>
        <a:xfrm>
          <a:off x="0" y="521785103"/>
          <a:ext cx="2458885" cy="902075"/>
        </a:xfrm>
        <a:prstGeom prst="rect">
          <a:avLst/>
        </a:prstGeom>
      </xdr:spPr>
    </xdr:pic>
    <xdr:clientData/>
  </xdr:twoCellAnchor>
  <xdr:twoCellAnchor>
    <xdr:from>
      <xdr:col>0</xdr:col>
      <xdr:colOff>11207</xdr:colOff>
      <xdr:row>1106</xdr:row>
      <xdr:rowOff>127747</xdr:rowOff>
    </xdr:from>
    <xdr:to>
      <xdr:col>1</xdr:col>
      <xdr:colOff>387832</xdr:colOff>
      <xdr:row>1109</xdr:row>
      <xdr:rowOff>313765</xdr:rowOff>
    </xdr:to>
    <xdr:pic>
      <xdr:nvPicPr>
        <xdr:cNvPr id="1265" name="Рисунок 1264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42" t="6641" r="-1317" b="-6641"/>
        <a:stretch/>
      </xdr:blipFill>
      <xdr:spPr>
        <a:xfrm>
          <a:off x="11207" y="23828188"/>
          <a:ext cx="2797096" cy="1698812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1179</xdr:row>
      <xdr:rowOff>26894</xdr:rowOff>
    </xdr:from>
    <xdr:to>
      <xdr:col>0</xdr:col>
      <xdr:colOff>1476894</xdr:colOff>
      <xdr:row>1179</xdr:row>
      <xdr:rowOff>490694</xdr:rowOff>
    </xdr:to>
    <xdr:pic>
      <xdr:nvPicPr>
        <xdr:cNvPr id="1266" name="Рисунок 1265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2129247"/>
          <a:ext cx="748512" cy="4638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1179</xdr:row>
      <xdr:rowOff>493059</xdr:rowOff>
    </xdr:from>
    <xdr:to>
      <xdr:col>0</xdr:col>
      <xdr:colOff>1538382</xdr:colOff>
      <xdr:row>1180</xdr:row>
      <xdr:rowOff>490694</xdr:rowOff>
    </xdr:to>
    <xdr:pic>
      <xdr:nvPicPr>
        <xdr:cNvPr id="1267" name="Рисунок 1266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2595412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1180</xdr:row>
      <xdr:rowOff>493058</xdr:rowOff>
    </xdr:from>
    <xdr:to>
      <xdr:col>0</xdr:col>
      <xdr:colOff>1538382</xdr:colOff>
      <xdr:row>1181</xdr:row>
      <xdr:rowOff>490694</xdr:rowOff>
    </xdr:to>
    <xdr:pic>
      <xdr:nvPicPr>
        <xdr:cNvPr id="1268" name="Рисунок 1267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3099676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1181</xdr:row>
      <xdr:rowOff>493059</xdr:rowOff>
    </xdr:from>
    <xdr:to>
      <xdr:col>0</xdr:col>
      <xdr:colOff>1538382</xdr:colOff>
      <xdr:row>1182</xdr:row>
      <xdr:rowOff>490694</xdr:rowOff>
    </xdr:to>
    <xdr:pic>
      <xdr:nvPicPr>
        <xdr:cNvPr id="1269" name="Рисунок 1268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3603941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1182</xdr:row>
      <xdr:rowOff>493059</xdr:rowOff>
    </xdr:from>
    <xdr:to>
      <xdr:col>0</xdr:col>
      <xdr:colOff>1538382</xdr:colOff>
      <xdr:row>1183</xdr:row>
      <xdr:rowOff>490694</xdr:rowOff>
    </xdr:to>
    <xdr:pic>
      <xdr:nvPicPr>
        <xdr:cNvPr id="1270" name="Рисунок 1269">
          <a:extLst>
            <a:ext uri="{FF2B5EF4-FFF2-40B4-BE49-F238E27FC236}">
              <a16:creationId xmlns:a16="http://schemas.microsoft.com/office/drawing/2014/main" xmlns="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4108206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1183</xdr:row>
      <xdr:rowOff>493058</xdr:rowOff>
    </xdr:from>
    <xdr:to>
      <xdr:col>0</xdr:col>
      <xdr:colOff>1538382</xdr:colOff>
      <xdr:row>1184</xdr:row>
      <xdr:rowOff>490694</xdr:rowOff>
    </xdr:to>
    <xdr:pic>
      <xdr:nvPicPr>
        <xdr:cNvPr id="1271" name="Рисунок 1270">
          <a:extLst>
            <a:ext uri="{FF2B5EF4-FFF2-40B4-BE49-F238E27FC236}">
              <a16:creationId xmlns:a16="http://schemas.microsoft.com/office/drawing/2014/main" xmlns="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4612470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1184</xdr:row>
      <xdr:rowOff>493059</xdr:rowOff>
    </xdr:from>
    <xdr:to>
      <xdr:col>0</xdr:col>
      <xdr:colOff>1538382</xdr:colOff>
      <xdr:row>1185</xdr:row>
      <xdr:rowOff>490694</xdr:rowOff>
    </xdr:to>
    <xdr:pic>
      <xdr:nvPicPr>
        <xdr:cNvPr id="1272" name="Рисунок 1271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5116735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1185</xdr:row>
      <xdr:rowOff>493059</xdr:rowOff>
    </xdr:from>
    <xdr:to>
      <xdr:col>0</xdr:col>
      <xdr:colOff>1538382</xdr:colOff>
      <xdr:row>1186</xdr:row>
      <xdr:rowOff>490694</xdr:rowOff>
    </xdr:to>
    <xdr:pic>
      <xdr:nvPicPr>
        <xdr:cNvPr id="1273" name="Рисунок 1272">
          <a:extLst>
            <a:ext uri="{FF2B5EF4-FFF2-40B4-BE49-F238E27FC236}">
              <a16:creationId xmlns:a16="http://schemas.microsoft.com/office/drawing/2014/main" xmlns="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5621000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1186</xdr:row>
      <xdr:rowOff>493059</xdr:rowOff>
    </xdr:from>
    <xdr:to>
      <xdr:col>0</xdr:col>
      <xdr:colOff>1538382</xdr:colOff>
      <xdr:row>1187</xdr:row>
      <xdr:rowOff>490694</xdr:rowOff>
    </xdr:to>
    <xdr:pic>
      <xdr:nvPicPr>
        <xdr:cNvPr id="1274" name="Рисунок 1273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6125265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1187</xdr:row>
      <xdr:rowOff>493058</xdr:rowOff>
    </xdr:from>
    <xdr:to>
      <xdr:col>0</xdr:col>
      <xdr:colOff>1538382</xdr:colOff>
      <xdr:row>1188</xdr:row>
      <xdr:rowOff>490694</xdr:rowOff>
    </xdr:to>
    <xdr:pic>
      <xdr:nvPicPr>
        <xdr:cNvPr id="1275" name="Рисунок 1274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6629529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1188</xdr:row>
      <xdr:rowOff>493059</xdr:rowOff>
    </xdr:from>
    <xdr:to>
      <xdr:col>0</xdr:col>
      <xdr:colOff>1538382</xdr:colOff>
      <xdr:row>1189</xdr:row>
      <xdr:rowOff>490694</xdr:rowOff>
    </xdr:to>
    <xdr:pic>
      <xdr:nvPicPr>
        <xdr:cNvPr id="1276" name="Рисунок 1275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7133794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1189</xdr:row>
      <xdr:rowOff>493059</xdr:rowOff>
    </xdr:from>
    <xdr:to>
      <xdr:col>0</xdr:col>
      <xdr:colOff>1538382</xdr:colOff>
      <xdr:row>1190</xdr:row>
      <xdr:rowOff>490694</xdr:rowOff>
    </xdr:to>
    <xdr:pic>
      <xdr:nvPicPr>
        <xdr:cNvPr id="1277" name="Рисунок 1276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7638059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1190</xdr:row>
      <xdr:rowOff>493058</xdr:rowOff>
    </xdr:from>
    <xdr:to>
      <xdr:col>0</xdr:col>
      <xdr:colOff>1538382</xdr:colOff>
      <xdr:row>1191</xdr:row>
      <xdr:rowOff>490694</xdr:rowOff>
    </xdr:to>
    <xdr:pic>
      <xdr:nvPicPr>
        <xdr:cNvPr id="1278" name="Рисунок 1277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8142323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1191</xdr:row>
      <xdr:rowOff>493059</xdr:rowOff>
    </xdr:from>
    <xdr:to>
      <xdr:col>0</xdr:col>
      <xdr:colOff>1538382</xdr:colOff>
      <xdr:row>1192</xdr:row>
      <xdr:rowOff>490694</xdr:rowOff>
    </xdr:to>
    <xdr:pic>
      <xdr:nvPicPr>
        <xdr:cNvPr id="1279" name="Рисунок 1278">
          <a:extLst>
            <a:ext uri="{FF2B5EF4-FFF2-40B4-BE49-F238E27FC236}">
              <a16:creationId xmlns:a16="http://schemas.microsoft.com/office/drawing/2014/main" xmlns="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8646588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1192</xdr:row>
      <xdr:rowOff>493059</xdr:rowOff>
    </xdr:from>
    <xdr:to>
      <xdr:col>0</xdr:col>
      <xdr:colOff>1538382</xdr:colOff>
      <xdr:row>1193</xdr:row>
      <xdr:rowOff>490694</xdr:rowOff>
    </xdr:to>
    <xdr:pic>
      <xdr:nvPicPr>
        <xdr:cNvPr id="1280" name="Рисунок 1279">
          <a:extLst>
            <a:ext uri="{FF2B5EF4-FFF2-40B4-BE49-F238E27FC236}">
              <a16:creationId xmlns:a16="http://schemas.microsoft.com/office/drawing/2014/main" xmlns="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9150853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806823</xdr:colOff>
      <xdr:row>1195</xdr:row>
      <xdr:rowOff>33618</xdr:rowOff>
    </xdr:from>
    <xdr:to>
      <xdr:col>0</xdr:col>
      <xdr:colOff>1616823</xdr:colOff>
      <xdr:row>1196</xdr:row>
      <xdr:rowOff>2118</xdr:rowOff>
    </xdr:to>
    <xdr:pic>
      <xdr:nvPicPr>
        <xdr:cNvPr id="1281" name="Рисунок 1280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3" y="540269206"/>
          <a:ext cx="810000" cy="472765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1196</xdr:row>
      <xdr:rowOff>1</xdr:rowOff>
    </xdr:from>
    <xdr:to>
      <xdr:col>0</xdr:col>
      <xdr:colOff>1583206</xdr:colOff>
      <xdr:row>1196</xdr:row>
      <xdr:rowOff>501901</xdr:rowOff>
    </xdr:to>
    <xdr:pic>
      <xdr:nvPicPr>
        <xdr:cNvPr id="1282" name="Рисунок 1281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540739854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1197</xdr:row>
      <xdr:rowOff>1</xdr:rowOff>
    </xdr:from>
    <xdr:to>
      <xdr:col>0</xdr:col>
      <xdr:colOff>1583206</xdr:colOff>
      <xdr:row>1197</xdr:row>
      <xdr:rowOff>501901</xdr:rowOff>
    </xdr:to>
    <xdr:pic>
      <xdr:nvPicPr>
        <xdr:cNvPr id="1283" name="Рисунок 1282">
          <a:extLst>
            <a:ext uri="{FF2B5EF4-FFF2-40B4-BE49-F238E27FC236}">
              <a16:creationId xmlns:a16="http://schemas.microsoft.com/office/drawing/2014/main" xmlns="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541244119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815789</xdr:colOff>
      <xdr:row>1199</xdr:row>
      <xdr:rowOff>41462</xdr:rowOff>
    </xdr:from>
    <xdr:to>
      <xdr:col>0</xdr:col>
      <xdr:colOff>1425958</xdr:colOff>
      <xdr:row>1200</xdr:row>
      <xdr:rowOff>20048</xdr:rowOff>
    </xdr:to>
    <xdr:pic>
      <xdr:nvPicPr>
        <xdr:cNvPr id="1285" name="Рисунок 1284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815789" y="13746256"/>
          <a:ext cx="610169" cy="482851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1202</xdr:row>
      <xdr:rowOff>13607</xdr:rowOff>
    </xdr:from>
    <xdr:to>
      <xdr:col>0</xdr:col>
      <xdr:colOff>1566087</xdr:colOff>
      <xdr:row>1203</xdr:row>
      <xdr:rowOff>2044</xdr:rowOff>
    </xdr:to>
    <xdr:pic>
      <xdr:nvPicPr>
        <xdr:cNvPr id="1286" name="Рисунок 1285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3628754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1203</xdr:row>
      <xdr:rowOff>13607</xdr:rowOff>
    </xdr:from>
    <xdr:to>
      <xdr:col>0</xdr:col>
      <xdr:colOff>1566087</xdr:colOff>
      <xdr:row>1204</xdr:row>
      <xdr:rowOff>2045</xdr:rowOff>
    </xdr:to>
    <xdr:pic>
      <xdr:nvPicPr>
        <xdr:cNvPr id="1287" name="Рисунок 1286">
          <a:extLst>
            <a:ext uri="{FF2B5EF4-FFF2-40B4-BE49-F238E27FC236}">
              <a16:creationId xmlns:a16="http://schemas.microsoft.com/office/drawing/2014/main" xmlns="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4133019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1204</xdr:row>
      <xdr:rowOff>13607</xdr:rowOff>
    </xdr:from>
    <xdr:to>
      <xdr:col>0</xdr:col>
      <xdr:colOff>1566087</xdr:colOff>
      <xdr:row>1205</xdr:row>
      <xdr:rowOff>2044</xdr:rowOff>
    </xdr:to>
    <xdr:pic>
      <xdr:nvPicPr>
        <xdr:cNvPr id="1288" name="Рисунок 1287">
          <a:extLst>
            <a:ext uri="{FF2B5EF4-FFF2-40B4-BE49-F238E27FC236}">
              <a16:creationId xmlns:a16="http://schemas.microsoft.com/office/drawing/2014/main" xmlns="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4637283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1211</xdr:row>
      <xdr:rowOff>13607</xdr:rowOff>
    </xdr:from>
    <xdr:to>
      <xdr:col>0</xdr:col>
      <xdr:colOff>1566087</xdr:colOff>
      <xdr:row>1212</xdr:row>
      <xdr:rowOff>2044</xdr:rowOff>
    </xdr:to>
    <xdr:pic>
      <xdr:nvPicPr>
        <xdr:cNvPr id="1289" name="Рисунок 1288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8167136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1212</xdr:row>
      <xdr:rowOff>13607</xdr:rowOff>
    </xdr:from>
    <xdr:to>
      <xdr:col>0</xdr:col>
      <xdr:colOff>1566087</xdr:colOff>
      <xdr:row>1213</xdr:row>
      <xdr:rowOff>2044</xdr:rowOff>
    </xdr:to>
    <xdr:pic>
      <xdr:nvPicPr>
        <xdr:cNvPr id="1290" name="Рисунок 1289">
          <a:extLst>
            <a:ext uri="{FF2B5EF4-FFF2-40B4-BE49-F238E27FC236}">
              <a16:creationId xmlns:a16="http://schemas.microsoft.com/office/drawing/2014/main" xmlns="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8671401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1213</xdr:row>
      <xdr:rowOff>13607</xdr:rowOff>
    </xdr:from>
    <xdr:to>
      <xdr:col>0</xdr:col>
      <xdr:colOff>1566087</xdr:colOff>
      <xdr:row>1214</xdr:row>
      <xdr:rowOff>2044</xdr:rowOff>
    </xdr:to>
    <xdr:pic>
      <xdr:nvPicPr>
        <xdr:cNvPr id="1291" name="Рисунок 1290"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9175666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1220</xdr:row>
      <xdr:rowOff>13607</xdr:rowOff>
    </xdr:from>
    <xdr:to>
      <xdr:col>0</xdr:col>
      <xdr:colOff>1566087</xdr:colOff>
      <xdr:row>1221</xdr:row>
      <xdr:rowOff>2045</xdr:rowOff>
    </xdr:to>
    <xdr:pic>
      <xdr:nvPicPr>
        <xdr:cNvPr id="1292" name="Рисунок 1291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2705519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1221</xdr:row>
      <xdr:rowOff>13607</xdr:rowOff>
    </xdr:from>
    <xdr:to>
      <xdr:col>0</xdr:col>
      <xdr:colOff>1566087</xdr:colOff>
      <xdr:row>1222</xdr:row>
      <xdr:rowOff>2044</xdr:rowOff>
    </xdr:to>
    <xdr:pic>
      <xdr:nvPicPr>
        <xdr:cNvPr id="1293" name="Рисунок 1292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3209783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1222</xdr:row>
      <xdr:rowOff>13607</xdr:rowOff>
    </xdr:from>
    <xdr:to>
      <xdr:col>0</xdr:col>
      <xdr:colOff>1566087</xdr:colOff>
      <xdr:row>1223</xdr:row>
      <xdr:rowOff>2044</xdr:rowOff>
    </xdr:to>
    <xdr:pic>
      <xdr:nvPicPr>
        <xdr:cNvPr id="1294" name="Рисунок 1293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3714048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1229</xdr:row>
      <xdr:rowOff>13607</xdr:rowOff>
    </xdr:from>
    <xdr:to>
      <xdr:col>0</xdr:col>
      <xdr:colOff>1566087</xdr:colOff>
      <xdr:row>1230</xdr:row>
      <xdr:rowOff>2044</xdr:rowOff>
    </xdr:to>
    <xdr:pic>
      <xdr:nvPicPr>
        <xdr:cNvPr id="1295" name="Рисунок 1294"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7243901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733184</xdr:colOff>
      <xdr:row>1230</xdr:row>
      <xdr:rowOff>36019</xdr:rowOff>
    </xdr:from>
    <xdr:to>
      <xdr:col>0</xdr:col>
      <xdr:colOff>1543675</xdr:colOff>
      <xdr:row>1231</xdr:row>
      <xdr:rowOff>24456</xdr:rowOff>
    </xdr:to>
    <xdr:pic>
      <xdr:nvPicPr>
        <xdr:cNvPr id="1296" name="Рисунок 1295"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4" y="27770578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733184</xdr:colOff>
      <xdr:row>1231</xdr:row>
      <xdr:rowOff>36019</xdr:rowOff>
    </xdr:from>
    <xdr:to>
      <xdr:col>0</xdr:col>
      <xdr:colOff>1543675</xdr:colOff>
      <xdr:row>1232</xdr:row>
      <xdr:rowOff>24457</xdr:rowOff>
    </xdr:to>
    <xdr:pic>
      <xdr:nvPicPr>
        <xdr:cNvPr id="1297" name="Рисунок 1296"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4" y="28274843"/>
          <a:ext cx="810491" cy="492702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1205</xdr:row>
      <xdr:rowOff>13607</xdr:rowOff>
    </xdr:from>
    <xdr:to>
      <xdr:col>0</xdr:col>
      <xdr:colOff>1565596</xdr:colOff>
      <xdr:row>1206</xdr:row>
      <xdr:rowOff>1717</xdr:rowOff>
    </xdr:to>
    <xdr:pic>
      <xdr:nvPicPr>
        <xdr:cNvPr id="1298" name="Рисунок 1297">
          <a:extLst>
            <a:ext uri="{FF2B5EF4-FFF2-40B4-BE49-F238E27FC236}">
              <a16:creationId xmlns:a16="http://schemas.microsoft.com/office/drawing/2014/main" xmlns="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5141548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1206</xdr:row>
      <xdr:rowOff>13607</xdr:rowOff>
    </xdr:from>
    <xdr:to>
      <xdr:col>0</xdr:col>
      <xdr:colOff>1565596</xdr:colOff>
      <xdr:row>1207</xdr:row>
      <xdr:rowOff>1717</xdr:rowOff>
    </xdr:to>
    <xdr:pic>
      <xdr:nvPicPr>
        <xdr:cNvPr id="1299" name="Рисунок 1298"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5645813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1207</xdr:row>
      <xdr:rowOff>13607</xdr:rowOff>
    </xdr:from>
    <xdr:to>
      <xdr:col>0</xdr:col>
      <xdr:colOff>1565596</xdr:colOff>
      <xdr:row>1208</xdr:row>
      <xdr:rowOff>1718</xdr:rowOff>
    </xdr:to>
    <xdr:pic>
      <xdr:nvPicPr>
        <xdr:cNvPr id="1300" name="Рисунок 1299"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6150078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1214</xdr:row>
      <xdr:rowOff>13607</xdr:rowOff>
    </xdr:from>
    <xdr:to>
      <xdr:col>0</xdr:col>
      <xdr:colOff>1565596</xdr:colOff>
      <xdr:row>1215</xdr:row>
      <xdr:rowOff>1718</xdr:rowOff>
    </xdr:to>
    <xdr:pic>
      <xdr:nvPicPr>
        <xdr:cNvPr id="1301" name="Рисунок 1300"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9679931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1215</xdr:row>
      <xdr:rowOff>13607</xdr:rowOff>
    </xdr:from>
    <xdr:to>
      <xdr:col>0</xdr:col>
      <xdr:colOff>1565596</xdr:colOff>
      <xdr:row>1216</xdr:row>
      <xdr:rowOff>1717</xdr:rowOff>
    </xdr:to>
    <xdr:pic>
      <xdr:nvPicPr>
        <xdr:cNvPr id="1302" name="Рисунок 1301"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0184195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1216</xdr:row>
      <xdr:rowOff>13607</xdr:rowOff>
    </xdr:from>
    <xdr:to>
      <xdr:col>0</xdr:col>
      <xdr:colOff>1565596</xdr:colOff>
      <xdr:row>1217</xdr:row>
      <xdr:rowOff>1717</xdr:rowOff>
    </xdr:to>
    <xdr:pic>
      <xdr:nvPicPr>
        <xdr:cNvPr id="1303" name="Рисунок 1302">
          <a:extLst>
            <a:ext uri="{FF2B5EF4-FFF2-40B4-BE49-F238E27FC236}">
              <a16:creationId xmlns:a16="http://schemas.microsoft.com/office/drawing/2014/main" xmlns="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0688460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1223</xdr:row>
      <xdr:rowOff>13607</xdr:rowOff>
    </xdr:from>
    <xdr:to>
      <xdr:col>0</xdr:col>
      <xdr:colOff>1565596</xdr:colOff>
      <xdr:row>1224</xdr:row>
      <xdr:rowOff>1717</xdr:rowOff>
    </xdr:to>
    <xdr:pic>
      <xdr:nvPicPr>
        <xdr:cNvPr id="1304" name="Рисунок 1303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4218313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1224</xdr:row>
      <xdr:rowOff>13607</xdr:rowOff>
    </xdr:from>
    <xdr:to>
      <xdr:col>0</xdr:col>
      <xdr:colOff>1565596</xdr:colOff>
      <xdr:row>1225</xdr:row>
      <xdr:rowOff>1718</xdr:rowOff>
    </xdr:to>
    <xdr:pic>
      <xdr:nvPicPr>
        <xdr:cNvPr id="1305" name="Рисунок 1304">
          <a:extLst>
            <a:ext uri="{FF2B5EF4-FFF2-40B4-BE49-F238E27FC236}">
              <a16:creationId xmlns:a16="http://schemas.microsoft.com/office/drawing/2014/main" xmlns="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4722578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1225</xdr:row>
      <xdr:rowOff>13607</xdr:rowOff>
    </xdr:from>
    <xdr:to>
      <xdr:col>0</xdr:col>
      <xdr:colOff>1565596</xdr:colOff>
      <xdr:row>1226</xdr:row>
      <xdr:rowOff>1717</xdr:rowOff>
    </xdr:to>
    <xdr:pic>
      <xdr:nvPicPr>
        <xdr:cNvPr id="1306" name="Рисунок 1305">
          <a:extLst>
            <a:ext uri="{FF2B5EF4-FFF2-40B4-BE49-F238E27FC236}">
              <a16:creationId xmlns:a16="http://schemas.microsoft.com/office/drawing/2014/main" xmlns="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5226842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733184</xdr:colOff>
      <xdr:row>1232</xdr:row>
      <xdr:rowOff>36019</xdr:rowOff>
    </xdr:from>
    <xdr:to>
      <xdr:col>0</xdr:col>
      <xdr:colOff>1543184</xdr:colOff>
      <xdr:row>1233</xdr:row>
      <xdr:rowOff>24129</xdr:rowOff>
    </xdr:to>
    <xdr:pic>
      <xdr:nvPicPr>
        <xdr:cNvPr id="1307" name="Рисунок 1306">
          <a:extLst>
            <a:ext uri="{FF2B5EF4-FFF2-40B4-BE49-F238E27FC236}">
              <a16:creationId xmlns:a16="http://schemas.microsoft.com/office/drawing/2014/main" xmlns="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4" y="28779107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733184</xdr:colOff>
      <xdr:row>1233</xdr:row>
      <xdr:rowOff>36019</xdr:rowOff>
    </xdr:from>
    <xdr:to>
      <xdr:col>0</xdr:col>
      <xdr:colOff>1543184</xdr:colOff>
      <xdr:row>1234</xdr:row>
      <xdr:rowOff>24129</xdr:rowOff>
    </xdr:to>
    <xdr:pic>
      <xdr:nvPicPr>
        <xdr:cNvPr id="1308" name="Рисунок 1307">
          <a:extLst>
            <a:ext uri="{FF2B5EF4-FFF2-40B4-BE49-F238E27FC236}">
              <a16:creationId xmlns:a16="http://schemas.microsoft.com/office/drawing/2014/main" xmlns="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4" y="29283372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733184</xdr:colOff>
      <xdr:row>1234</xdr:row>
      <xdr:rowOff>36019</xdr:rowOff>
    </xdr:from>
    <xdr:to>
      <xdr:col>0</xdr:col>
      <xdr:colOff>1543184</xdr:colOff>
      <xdr:row>1235</xdr:row>
      <xdr:rowOff>24130</xdr:rowOff>
    </xdr:to>
    <xdr:pic>
      <xdr:nvPicPr>
        <xdr:cNvPr id="1309" name="Рисунок 1308">
          <a:extLst>
            <a:ext uri="{FF2B5EF4-FFF2-40B4-BE49-F238E27FC236}">
              <a16:creationId xmlns:a16="http://schemas.microsoft.com/office/drawing/2014/main" xmlns="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4" y="29787637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1208</xdr:row>
      <xdr:rowOff>13607</xdr:rowOff>
    </xdr:from>
    <xdr:to>
      <xdr:col>0</xdr:col>
      <xdr:colOff>1565596</xdr:colOff>
      <xdr:row>1209</xdr:row>
      <xdr:rowOff>1717</xdr:rowOff>
    </xdr:to>
    <xdr:pic>
      <xdr:nvPicPr>
        <xdr:cNvPr id="1310" name="Рисунок 1309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6654342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1209</xdr:row>
      <xdr:rowOff>13607</xdr:rowOff>
    </xdr:from>
    <xdr:to>
      <xdr:col>0</xdr:col>
      <xdr:colOff>1565596</xdr:colOff>
      <xdr:row>1210</xdr:row>
      <xdr:rowOff>1717</xdr:rowOff>
    </xdr:to>
    <xdr:pic>
      <xdr:nvPicPr>
        <xdr:cNvPr id="1311" name="Рисунок 1310"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7158607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1210</xdr:row>
      <xdr:rowOff>13607</xdr:rowOff>
    </xdr:from>
    <xdr:to>
      <xdr:col>0</xdr:col>
      <xdr:colOff>1565596</xdr:colOff>
      <xdr:row>1211</xdr:row>
      <xdr:rowOff>1718</xdr:rowOff>
    </xdr:to>
    <xdr:pic>
      <xdr:nvPicPr>
        <xdr:cNvPr id="1312" name="Рисунок 1311"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17662872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1217</xdr:row>
      <xdr:rowOff>13607</xdr:rowOff>
    </xdr:from>
    <xdr:to>
      <xdr:col>0</xdr:col>
      <xdr:colOff>1565596</xdr:colOff>
      <xdr:row>1218</xdr:row>
      <xdr:rowOff>1718</xdr:rowOff>
    </xdr:to>
    <xdr:pic>
      <xdr:nvPicPr>
        <xdr:cNvPr id="1313" name="Рисунок 1312">
          <a:extLst>
            <a:ext uri="{FF2B5EF4-FFF2-40B4-BE49-F238E27FC236}">
              <a16:creationId xmlns:a16="http://schemas.microsoft.com/office/drawing/2014/main" xmlns="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1192725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1218</xdr:row>
      <xdr:rowOff>13607</xdr:rowOff>
    </xdr:from>
    <xdr:to>
      <xdr:col>0</xdr:col>
      <xdr:colOff>1565596</xdr:colOff>
      <xdr:row>1219</xdr:row>
      <xdr:rowOff>1717</xdr:rowOff>
    </xdr:to>
    <xdr:pic>
      <xdr:nvPicPr>
        <xdr:cNvPr id="1314" name="Рисунок 1313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1696989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1219</xdr:row>
      <xdr:rowOff>13607</xdr:rowOff>
    </xdr:from>
    <xdr:to>
      <xdr:col>0</xdr:col>
      <xdr:colOff>1565596</xdr:colOff>
      <xdr:row>1220</xdr:row>
      <xdr:rowOff>1717</xdr:rowOff>
    </xdr:to>
    <xdr:pic>
      <xdr:nvPicPr>
        <xdr:cNvPr id="1315" name="Рисунок 1314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2201254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1226</xdr:row>
      <xdr:rowOff>13607</xdr:rowOff>
    </xdr:from>
    <xdr:to>
      <xdr:col>0</xdr:col>
      <xdr:colOff>1565596</xdr:colOff>
      <xdr:row>1227</xdr:row>
      <xdr:rowOff>1717</xdr:rowOff>
    </xdr:to>
    <xdr:pic>
      <xdr:nvPicPr>
        <xdr:cNvPr id="1316" name="Рисунок 1315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5731107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1227</xdr:row>
      <xdr:rowOff>13607</xdr:rowOff>
    </xdr:from>
    <xdr:to>
      <xdr:col>0</xdr:col>
      <xdr:colOff>1565596</xdr:colOff>
      <xdr:row>1228</xdr:row>
      <xdr:rowOff>1718</xdr:rowOff>
    </xdr:to>
    <xdr:pic>
      <xdr:nvPicPr>
        <xdr:cNvPr id="1317" name="Рисунок 1316">
          <a:extLst>
            <a:ext uri="{FF2B5EF4-FFF2-40B4-BE49-F238E27FC236}">
              <a16:creationId xmlns:a16="http://schemas.microsoft.com/office/drawing/2014/main" xmlns="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6235372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755596</xdr:colOff>
      <xdr:row>1228</xdr:row>
      <xdr:rowOff>13607</xdr:rowOff>
    </xdr:from>
    <xdr:to>
      <xdr:col>0</xdr:col>
      <xdr:colOff>1565596</xdr:colOff>
      <xdr:row>1229</xdr:row>
      <xdr:rowOff>1717</xdr:rowOff>
    </xdr:to>
    <xdr:pic>
      <xdr:nvPicPr>
        <xdr:cNvPr id="1318" name="Рисунок 1317">
          <a:extLst>
            <a:ext uri="{FF2B5EF4-FFF2-40B4-BE49-F238E27FC236}">
              <a16:creationId xmlns:a16="http://schemas.microsoft.com/office/drawing/2014/main" xmlns="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96" y="26739636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733184</xdr:colOff>
      <xdr:row>1235</xdr:row>
      <xdr:rowOff>36019</xdr:rowOff>
    </xdr:from>
    <xdr:to>
      <xdr:col>0</xdr:col>
      <xdr:colOff>1543184</xdr:colOff>
      <xdr:row>1236</xdr:row>
      <xdr:rowOff>24129</xdr:rowOff>
    </xdr:to>
    <xdr:pic>
      <xdr:nvPicPr>
        <xdr:cNvPr id="1319" name="Рисунок 1318">
          <a:extLst>
            <a:ext uri="{FF2B5EF4-FFF2-40B4-BE49-F238E27FC236}">
              <a16:creationId xmlns:a16="http://schemas.microsoft.com/office/drawing/2014/main" xmlns="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4" y="30291901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733184</xdr:colOff>
      <xdr:row>1236</xdr:row>
      <xdr:rowOff>36019</xdr:rowOff>
    </xdr:from>
    <xdr:to>
      <xdr:col>0</xdr:col>
      <xdr:colOff>1543184</xdr:colOff>
      <xdr:row>1237</xdr:row>
      <xdr:rowOff>24129</xdr:rowOff>
    </xdr:to>
    <xdr:pic>
      <xdr:nvPicPr>
        <xdr:cNvPr id="1320" name="Рисунок 1319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4" y="30796166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733184</xdr:colOff>
      <xdr:row>1237</xdr:row>
      <xdr:rowOff>36019</xdr:rowOff>
    </xdr:from>
    <xdr:to>
      <xdr:col>0</xdr:col>
      <xdr:colOff>1543184</xdr:colOff>
      <xdr:row>1238</xdr:row>
      <xdr:rowOff>24130</xdr:rowOff>
    </xdr:to>
    <xdr:pic>
      <xdr:nvPicPr>
        <xdr:cNvPr id="1321" name="Рисунок 1320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84" y="31300431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1240</xdr:row>
      <xdr:rowOff>11206</xdr:rowOff>
    </xdr:from>
    <xdr:to>
      <xdr:col>0</xdr:col>
      <xdr:colOff>1402853</xdr:colOff>
      <xdr:row>1240</xdr:row>
      <xdr:rowOff>503581</xdr:rowOff>
    </xdr:to>
    <xdr:pic>
      <xdr:nvPicPr>
        <xdr:cNvPr id="1322" name="Рисунок 1321">
          <a:extLst>
            <a:ext uri="{FF2B5EF4-FFF2-40B4-BE49-F238E27FC236}">
              <a16:creationId xmlns:a16="http://schemas.microsoft.com/office/drawing/2014/main" xmlns="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32788412"/>
          <a:ext cx="540000" cy="492375"/>
        </a:xfrm>
        <a:prstGeom prst="rect">
          <a:avLst/>
        </a:prstGeom>
      </xdr:spPr>
    </xdr:pic>
    <xdr:clientData/>
  </xdr:twoCellAnchor>
  <xdr:twoCellAnchor>
    <xdr:from>
      <xdr:col>0</xdr:col>
      <xdr:colOff>862853</xdr:colOff>
      <xdr:row>1243</xdr:row>
      <xdr:rowOff>33617</xdr:rowOff>
    </xdr:from>
    <xdr:to>
      <xdr:col>0</xdr:col>
      <xdr:colOff>1402853</xdr:colOff>
      <xdr:row>1244</xdr:row>
      <xdr:rowOff>12202</xdr:rowOff>
    </xdr:to>
    <xdr:pic>
      <xdr:nvPicPr>
        <xdr:cNvPr id="1323" name="Рисунок 1322">
          <a:extLst>
            <a:ext uri="{FF2B5EF4-FFF2-40B4-BE49-F238E27FC236}">
              <a16:creationId xmlns:a16="http://schemas.microsoft.com/office/drawing/2014/main" xmlns="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853" y="34323617"/>
          <a:ext cx="540000" cy="482850"/>
        </a:xfrm>
        <a:prstGeom prst="rect">
          <a:avLst/>
        </a:prstGeom>
      </xdr:spPr>
    </xdr:pic>
    <xdr:clientData/>
  </xdr:twoCellAnchor>
  <xdr:twoCellAnchor>
    <xdr:from>
      <xdr:col>0</xdr:col>
      <xdr:colOff>829235</xdr:colOff>
      <xdr:row>1241</xdr:row>
      <xdr:rowOff>22412</xdr:rowOff>
    </xdr:from>
    <xdr:to>
      <xdr:col>0</xdr:col>
      <xdr:colOff>1502279</xdr:colOff>
      <xdr:row>1242</xdr:row>
      <xdr:rowOff>998</xdr:rowOff>
    </xdr:to>
    <xdr:pic>
      <xdr:nvPicPr>
        <xdr:cNvPr id="1324" name="Рисунок 1323">
          <a:extLst>
            <a:ext uri="{FF2B5EF4-FFF2-40B4-BE49-F238E27FC236}">
              <a16:creationId xmlns:a16="http://schemas.microsoft.com/office/drawing/2014/main" xmlns="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18" t="16637" r="14042" b="14486"/>
        <a:stretch>
          <a:fillRect/>
        </a:stretch>
      </xdr:blipFill>
      <xdr:spPr>
        <a:xfrm>
          <a:off x="829235" y="33303883"/>
          <a:ext cx="673044" cy="482850"/>
        </a:xfrm>
        <a:prstGeom prst="rect">
          <a:avLst/>
        </a:prstGeom>
      </xdr:spPr>
    </xdr:pic>
    <xdr:clientData/>
  </xdr:twoCellAnchor>
  <xdr:twoCellAnchor>
    <xdr:from>
      <xdr:col>0</xdr:col>
      <xdr:colOff>813548</xdr:colOff>
      <xdr:row>1244</xdr:row>
      <xdr:rowOff>40342</xdr:rowOff>
    </xdr:from>
    <xdr:to>
      <xdr:col>0</xdr:col>
      <xdr:colOff>1486592</xdr:colOff>
      <xdr:row>1245</xdr:row>
      <xdr:rowOff>9403</xdr:rowOff>
    </xdr:to>
    <xdr:pic>
      <xdr:nvPicPr>
        <xdr:cNvPr id="1325" name="Рисунок 1324">
          <a:extLst>
            <a:ext uri="{FF2B5EF4-FFF2-40B4-BE49-F238E27FC236}">
              <a16:creationId xmlns:a16="http://schemas.microsoft.com/office/drawing/2014/main" xmlns="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18" t="16637" r="14042" b="14486"/>
        <a:stretch>
          <a:fillRect/>
        </a:stretch>
      </xdr:blipFill>
      <xdr:spPr>
        <a:xfrm>
          <a:off x="813548" y="34834607"/>
          <a:ext cx="673044" cy="473325"/>
        </a:xfrm>
        <a:prstGeom prst="rect">
          <a:avLst/>
        </a:prstGeom>
      </xdr:spPr>
    </xdr:pic>
    <xdr:clientData/>
  </xdr:twoCellAnchor>
  <xdr:twoCellAnchor>
    <xdr:from>
      <xdr:col>0</xdr:col>
      <xdr:colOff>862854</xdr:colOff>
      <xdr:row>1242</xdr:row>
      <xdr:rowOff>22412</xdr:rowOff>
    </xdr:from>
    <xdr:to>
      <xdr:col>0</xdr:col>
      <xdr:colOff>1431140</xdr:colOff>
      <xdr:row>1243</xdr:row>
      <xdr:rowOff>10522</xdr:rowOff>
    </xdr:to>
    <xdr:pic>
      <xdr:nvPicPr>
        <xdr:cNvPr id="1326" name="Рисунок 1325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5972" r="20143" b="14153"/>
        <a:stretch>
          <a:fillRect/>
        </a:stretch>
      </xdr:blipFill>
      <xdr:spPr>
        <a:xfrm>
          <a:off x="862854" y="33808147"/>
          <a:ext cx="568286" cy="492375"/>
        </a:xfrm>
        <a:prstGeom prst="rect">
          <a:avLst/>
        </a:prstGeom>
      </xdr:spPr>
    </xdr:pic>
    <xdr:clientData/>
  </xdr:twoCellAnchor>
  <xdr:twoCellAnchor>
    <xdr:from>
      <xdr:col>0</xdr:col>
      <xdr:colOff>858371</xdr:colOff>
      <xdr:row>1245</xdr:row>
      <xdr:rowOff>29136</xdr:rowOff>
    </xdr:from>
    <xdr:to>
      <xdr:col>0</xdr:col>
      <xdr:colOff>1426657</xdr:colOff>
      <xdr:row>1246</xdr:row>
      <xdr:rowOff>7721</xdr:rowOff>
    </xdr:to>
    <xdr:pic>
      <xdr:nvPicPr>
        <xdr:cNvPr id="1327" name="Рисунок 1326">
          <a:extLst>
            <a:ext uri="{FF2B5EF4-FFF2-40B4-BE49-F238E27FC236}">
              <a16:creationId xmlns:a16="http://schemas.microsoft.com/office/drawing/2014/main" xmlns="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5972" r="20143" b="14153"/>
        <a:stretch>
          <a:fillRect/>
        </a:stretch>
      </xdr:blipFill>
      <xdr:spPr>
        <a:xfrm>
          <a:off x="858371" y="35327665"/>
          <a:ext cx="568286" cy="482850"/>
        </a:xfrm>
        <a:prstGeom prst="rect">
          <a:avLst/>
        </a:prstGeom>
      </xdr:spPr>
    </xdr:pic>
    <xdr:clientData/>
  </xdr:twoCellAnchor>
  <xdr:twoCellAnchor>
    <xdr:from>
      <xdr:col>0</xdr:col>
      <xdr:colOff>912212</xdr:colOff>
      <xdr:row>1247</xdr:row>
      <xdr:rowOff>21789</xdr:rowOff>
    </xdr:from>
    <xdr:to>
      <xdr:col>0</xdr:col>
      <xdr:colOff>1341594</xdr:colOff>
      <xdr:row>1248</xdr:row>
      <xdr:rowOff>9349</xdr:rowOff>
    </xdr:to>
    <xdr:pic>
      <xdr:nvPicPr>
        <xdr:cNvPr id="1328" name="Рисунок 1327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57" t="2126" r="7992" b="13390"/>
        <a:stretch/>
      </xdr:blipFill>
      <xdr:spPr>
        <a:xfrm>
          <a:off x="912212" y="36328848"/>
          <a:ext cx="429382" cy="491825"/>
        </a:xfrm>
        <a:prstGeom prst="rect">
          <a:avLst/>
        </a:prstGeom>
      </xdr:spPr>
    </xdr:pic>
    <xdr:clientData/>
  </xdr:twoCellAnchor>
  <xdr:twoCellAnchor>
    <xdr:from>
      <xdr:col>0</xdr:col>
      <xdr:colOff>918261</xdr:colOff>
      <xdr:row>1246</xdr:row>
      <xdr:rowOff>32371</xdr:rowOff>
    </xdr:from>
    <xdr:to>
      <xdr:col>0</xdr:col>
      <xdr:colOff>1352177</xdr:colOff>
      <xdr:row>1247</xdr:row>
      <xdr:rowOff>9648</xdr:rowOff>
    </xdr:to>
    <xdr:pic>
      <xdr:nvPicPr>
        <xdr:cNvPr id="1329" name="Рисунок 1328">
          <a:extLst>
            <a:ext uri="{FF2B5EF4-FFF2-40B4-BE49-F238E27FC236}">
              <a16:creationId xmlns:a16="http://schemas.microsoft.com/office/drawing/2014/main" xmlns="" id="{00000000-0008-0000-0000-000031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73" t="3512" r="11745" b="3697"/>
        <a:stretch/>
      </xdr:blipFill>
      <xdr:spPr>
        <a:xfrm>
          <a:off x="918261" y="35835165"/>
          <a:ext cx="433916" cy="481542"/>
        </a:xfrm>
        <a:prstGeom prst="rect">
          <a:avLst/>
        </a:prstGeom>
      </xdr:spPr>
    </xdr:pic>
    <xdr:clientData/>
  </xdr:twoCellAnchor>
  <xdr:twoCellAnchor>
    <xdr:from>
      <xdr:col>0</xdr:col>
      <xdr:colOff>907677</xdr:colOff>
      <xdr:row>1248</xdr:row>
      <xdr:rowOff>67236</xdr:rowOff>
    </xdr:from>
    <xdr:to>
      <xdr:col>0</xdr:col>
      <xdr:colOff>1331010</xdr:colOff>
      <xdr:row>1249</xdr:row>
      <xdr:rowOff>9351</xdr:rowOff>
    </xdr:to>
    <xdr:pic>
      <xdr:nvPicPr>
        <xdr:cNvPr id="1330" name="Рисунок 1329">
          <a:extLst>
            <a:ext uri="{FF2B5EF4-FFF2-40B4-BE49-F238E27FC236}">
              <a16:creationId xmlns:a16="http://schemas.microsoft.com/office/drawing/2014/main" xmlns="" id="{00000000-0008-0000-0000-000032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57" t="2126" r="7992" b="13390"/>
        <a:stretch/>
      </xdr:blipFill>
      <xdr:spPr>
        <a:xfrm>
          <a:off x="907677" y="20327471"/>
          <a:ext cx="423333" cy="446380"/>
        </a:xfrm>
        <a:prstGeom prst="rect">
          <a:avLst/>
        </a:prstGeom>
      </xdr:spPr>
    </xdr:pic>
    <xdr:clientData/>
  </xdr:twoCellAnchor>
  <xdr:twoCellAnchor>
    <xdr:from>
      <xdr:col>0</xdr:col>
      <xdr:colOff>515471</xdr:colOff>
      <xdr:row>420</xdr:row>
      <xdr:rowOff>207309</xdr:rowOff>
    </xdr:from>
    <xdr:to>
      <xdr:col>0</xdr:col>
      <xdr:colOff>1857377</xdr:colOff>
      <xdr:row>423</xdr:row>
      <xdr:rowOff>285678</xdr:rowOff>
    </xdr:to>
    <xdr:pic>
      <xdr:nvPicPr>
        <xdr:cNvPr id="1331" name="Рисунок 1330">
          <a:extLst>
            <a:ext uri="{FF2B5EF4-FFF2-40B4-BE49-F238E27FC236}">
              <a16:creationId xmlns:a16="http://schemas.microsoft.com/office/drawing/2014/main" xmlns="" id="{00000000-0008-0000-0000-000033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4" r="32129"/>
        <a:stretch/>
      </xdr:blipFill>
      <xdr:spPr>
        <a:xfrm>
          <a:off x="515471" y="7771280"/>
          <a:ext cx="1341906" cy="1591163"/>
        </a:xfrm>
        <a:prstGeom prst="rect">
          <a:avLst/>
        </a:prstGeom>
      </xdr:spPr>
    </xdr:pic>
    <xdr:clientData/>
  </xdr:twoCellAnchor>
  <xdr:twoCellAnchor>
    <xdr:from>
      <xdr:col>0</xdr:col>
      <xdr:colOff>622921</xdr:colOff>
      <xdr:row>1257</xdr:row>
      <xdr:rowOff>43578</xdr:rowOff>
    </xdr:from>
    <xdr:to>
      <xdr:col>0</xdr:col>
      <xdr:colOff>1433205</xdr:colOff>
      <xdr:row>1258</xdr:row>
      <xdr:rowOff>22163</xdr:rowOff>
    </xdr:to>
    <xdr:pic>
      <xdr:nvPicPr>
        <xdr:cNvPr id="1332" name="Рисунок 1331"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21" y="578020578"/>
          <a:ext cx="810284" cy="482850"/>
        </a:xfrm>
        <a:prstGeom prst="rect">
          <a:avLst/>
        </a:prstGeom>
      </xdr:spPr>
    </xdr:pic>
    <xdr:clientData/>
  </xdr:twoCellAnchor>
  <xdr:twoCellAnchor>
    <xdr:from>
      <xdr:col>0</xdr:col>
      <xdr:colOff>608103</xdr:colOff>
      <xdr:row>1258</xdr:row>
      <xdr:rowOff>47812</xdr:rowOff>
    </xdr:from>
    <xdr:to>
      <xdr:col>0</xdr:col>
      <xdr:colOff>1418387</xdr:colOff>
      <xdr:row>1259</xdr:row>
      <xdr:rowOff>25837</xdr:rowOff>
    </xdr:to>
    <xdr:pic>
      <xdr:nvPicPr>
        <xdr:cNvPr id="1333" name="Рисунок 1332"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103" y="578529077"/>
          <a:ext cx="810284" cy="482289"/>
        </a:xfrm>
        <a:prstGeom prst="rect">
          <a:avLst/>
        </a:prstGeom>
      </xdr:spPr>
    </xdr:pic>
    <xdr:clientData/>
  </xdr:twoCellAnchor>
  <xdr:twoCellAnchor>
    <xdr:from>
      <xdr:col>0</xdr:col>
      <xdr:colOff>625038</xdr:colOff>
      <xdr:row>1259</xdr:row>
      <xdr:rowOff>75327</xdr:rowOff>
    </xdr:from>
    <xdr:to>
      <xdr:col>0</xdr:col>
      <xdr:colOff>1417038</xdr:colOff>
      <xdr:row>1260</xdr:row>
      <xdr:rowOff>23321</xdr:rowOff>
    </xdr:to>
    <xdr:pic>
      <xdr:nvPicPr>
        <xdr:cNvPr id="1334" name="Рисунок 1333">
          <a:extLst>
            <a:ext uri="{FF2B5EF4-FFF2-40B4-BE49-F238E27FC236}">
              <a16:creationId xmlns:a16="http://schemas.microsoft.com/office/drawing/2014/main" xmlns="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038" y="579060856"/>
          <a:ext cx="792000" cy="452259"/>
        </a:xfrm>
        <a:prstGeom prst="rect">
          <a:avLst/>
        </a:prstGeom>
      </xdr:spPr>
    </xdr:pic>
    <xdr:clientData/>
  </xdr:twoCellAnchor>
  <xdr:twoCellAnchor>
    <xdr:from>
      <xdr:col>0</xdr:col>
      <xdr:colOff>762620</xdr:colOff>
      <xdr:row>1265</xdr:row>
      <xdr:rowOff>43579</xdr:rowOff>
    </xdr:from>
    <xdr:to>
      <xdr:col>0</xdr:col>
      <xdr:colOff>1210511</xdr:colOff>
      <xdr:row>1266</xdr:row>
      <xdr:rowOff>22164</xdr:rowOff>
    </xdr:to>
    <xdr:pic>
      <xdr:nvPicPr>
        <xdr:cNvPr id="1335" name="Рисунок 1334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620" y="582558961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745687</xdr:colOff>
      <xdr:row>1266</xdr:row>
      <xdr:rowOff>41078</xdr:rowOff>
    </xdr:from>
    <xdr:to>
      <xdr:col>0</xdr:col>
      <xdr:colOff>1193578</xdr:colOff>
      <xdr:row>1267</xdr:row>
      <xdr:rowOff>19663</xdr:rowOff>
    </xdr:to>
    <xdr:pic>
      <xdr:nvPicPr>
        <xdr:cNvPr id="1336" name="Рисунок 1335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687" y="583060725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755887</xdr:colOff>
      <xdr:row>1267</xdr:row>
      <xdr:rowOff>48390</xdr:rowOff>
    </xdr:from>
    <xdr:to>
      <xdr:col>0</xdr:col>
      <xdr:colOff>1203778</xdr:colOff>
      <xdr:row>1268</xdr:row>
      <xdr:rowOff>26976</xdr:rowOff>
    </xdr:to>
    <xdr:pic>
      <xdr:nvPicPr>
        <xdr:cNvPr id="1337" name="Рисунок 1336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887" y="583572302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761083</xdr:colOff>
      <xdr:row>1268</xdr:row>
      <xdr:rowOff>44926</xdr:rowOff>
    </xdr:from>
    <xdr:to>
      <xdr:col>0</xdr:col>
      <xdr:colOff>1208974</xdr:colOff>
      <xdr:row>1269</xdr:row>
      <xdr:rowOff>23511</xdr:rowOff>
    </xdr:to>
    <xdr:pic>
      <xdr:nvPicPr>
        <xdr:cNvPr id="1338" name="Рисунок 1337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83" y="584073102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748961</xdr:colOff>
      <xdr:row>1269</xdr:row>
      <xdr:rowOff>41462</xdr:rowOff>
    </xdr:from>
    <xdr:to>
      <xdr:col>0</xdr:col>
      <xdr:colOff>1196852</xdr:colOff>
      <xdr:row>1270</xdr:row>
      <xdr:rowOff>20047</xdr:rowOff>
    </xdr:to>
    <xdr:pic>
      <xdr:nvPicPr>
        <xdr:cNvPr id="1339" name="Рисунок 1338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961" y="584573903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745498</xdr:colOff>
      <xdr:row>1270</xdr:row>
      <xdr:rowOff>37999</xdr:rowOff>
    </xdr:from>
    <xdr:to>
      <xdr:col>0</xdr:col>
      <xdr:colOff>1193389</xdr:colOff>
      <xdr:row>1271</xdr:row>
      <xdr:rowOff>26109</xdr:rowOff>
    </xdr:to>
    <xdr:pic>
      <xdr:nvPicPr>
        <xdr:cNvPr id="1340" name="Рисунок 1339">
          <a:extLst>
            <a:ext uri="{FF2B5EF4-FFF2-40B4-BE49-F238E27FC236}">
              <a16:creationId xmlns:a16="http://schemas.microsoft.com/office/drawing/2014/main" xmlns="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98" y="585074705"/>
          <a:ext cx="447891" cy="492375"/>
        </a:xfrm>
        <a:prstGeom prst="rect">
          <a:avLst/>
        </a:prstGeom>
      </xdr:spPr>
    </xdr:pic>
    <xdr:clientData/>
  </xdr:twoCellAnchor>
  <xdr:twoCellAnchor>
    <xdr:from>
      <xdr:col>0</xdr:col>
      <xdr:colOff>759353</xdr:colOff>
      <xdr:row>1271</xdr:row>
      <xdr:rowOff>43194</xdr:rowOff>
    </xdr:from>
    <xdr:to>
      <xdr:col>0</xdr:col>
      <xdr:colOff>1207244</xdr:colOff>
      <xdr:row>1272</xdr:row>
      <xdr:rowOff>21780</xdr:rowOff>
    </xdr:to>
    <xdr:pic>
      <xdr:nvPicPr>
        <xdr:cNvPr id="1341" name="Рисунок 1340"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353" y="585584165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747230</xdr:colOff>
      <xdr:row>1274</xdr:row>
      <xdr:rowOff>48389</xdr:rowOff>
    </xdr:from>
    <xdr:to>
      <xdr:col>0</xdr:col>
      <xdr:colOff>1195121</xdr:colOff>
      <xdr:row>1275</xdr:row>
      <xdr:rowOff>26975</xdr:rowOff>
    </xdr:to>
    <xdr:pic>
      <xdr:nvPicPr>
        <xdr:cNvPr id="1342" name="Рисунок 1341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230" y="587102154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761298</xdr:colOff>
      <xdr:row>1272</xdr:row>
      <xdr:rowOff>46224</xdr:rowOff>
    </xdr:from>
    <xdr:to>
      <xdr:col>0</xdr:col>
      <xdr:colOff>1209189</xdr:colOff>
      <xdr:row>1273</xdr:row>
      <xdr:rowOff>24809</xdr:rowOff>
    </xdr:to>
    <xdr:pic>
      <xdr:nvPicPr>
        <xdr:cNvPr id="1343" name="Рисунок 1342">
          <a:extLst>
            <a:ext uri="{FF2B5EF4-FFF2-40B4-BE49-F238E27FC236}">
              <a16:creationId xmlns:a16="http://schemas.microsoft.com/office/drawing/2014/main" xmlns="" id="{00000000-0008-0000-00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98" y="586091459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761298</xdr:colOff>
      <xdr:row>1273</xdr:row>
      <xdr:rowOff>46224</xdr:rowOff>
    </xdr:from>
    <xdr:to>
      <xdr:col>0</xdr:col>
      <xdr:colOff>1209189</xdr:colOff>
      <xdr:row>1274</xdr:row>
      <xdr:rowOff>24809</xdr:rowOff>
    </xdr:to>
    <xdr:pic>
      <xdr:nvPicPr>
        <xdr:cNvPr id="1344" name="Рисунок 1343">
          <a:extLst>
            <a:ext uri="{FF2B5EF4-FFF2-40B4-BE49-F238E27FC236}">
              <a16:creationId xmlns:a16="http://schemas.microsoft.com/office/drawing/2014/main" xmlns="" id="{00000000-0008-0000-00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98" y="586595724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761298</xdr:colOff>
      <xdr:row>1275</xdr:row>
      <xdr:rowOff>46224</xdr:rowOff>
    </xdr:from>
    <xdr:to>
      <xdr:col>0</xdr:col>
      <xdr:colOff>1209189</xdr:colOff>
      <xdr:row>1276</xdr:row>
      <xdr:rowOff>24809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xmlns="" id="{00000000-0008-0000-00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98" y="587604253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761298</xdr:colOff>
      <xdr:row>1276</xdr:row>
      <xdr:rowOff>46224</xdr:rowOff>
    </xdr:from>
    <xdr:to>
      <xdr:col>0</xdr:col>
      <xdr:colOff>1209189</xdr:colOff>
      <xdr:row>1277</xdr:row>
      <xdr:rowOff>24809</xdr:rowOff>
    </xdr:to>
    <xdr:pic>
      <xdr:nvPicPr>
        <xdr:cNvPr id="1346" name="Рисунок 1345">
          <a:extLst>
            <a:ext uri="{FF2B5EF4-FFF2-40B4-BE49-F238E27FC236}">
              <a16:creationId xmlns:a16="http://schemas.microsoft.com/office/drawing/2014/main" xmlns="" id="{00000000-0008-0000-00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98" y="588108518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1255</xdr:row>
      <xdr:rowOff>0</xdr:rowOff>
    </xdr:from>
    <xdr:to>
      <xdr:col>0</xdr:col>
      <xdr:colOff>1403752</xdr:colOff>
      <xdr:row>1255</xdr:row>
      <xdr:rowOff>23409</xdr:rowOff>
    </xdr:to>
    <xdr:pic>
      <xdr:nvPicPr>
        <xdr:cNvPr id="1350" name="Рисунок 1349"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808"/>
        <a:stretch>
          <a:fillRect/>
        </a:stretch>
      </xdr:blipFill>
      <xdr:spPr>
        <a:xfrm>
          <a:off x="605117" y="576509030"/>
          <a:ext cx="798635" cy="482850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1255</xdr:row>
      <xdr:rowOff>79562</xdr:rowOff>
    </xdr:from>
    <xdr:to>
      <xdr:col>0</xdr:col>
      <xdr:colOff>1415111</xdr:colOff>
      <xdr:row>1257</xdr:row>
      <xdr:rowOff>0</xdr:rowOff>
    </xdr:to>
    <xdr:pic>
      <xdr:nvPicPr>
        <xdr:cNvPr id="1351" name="Рисунок 1350"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577048033"/>
          <a:ext cx="832406" cy="448950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1257</xdr:row>
      <xdr:rowOff>0</xdr:rowOff>
    </xdr:from>
    <xdr:to>
      <xdr:col>0</xdr:col>
      <xdr:colOff>1415111</xdr:colOff>
      <xdr:row>1257</xdr:row>
      <xdr:rowOff>24247</xdr:rowOff>
    </xdr:to>
    <xdr:pic>
      <xdr:nvPicPr>
        <xdr:cNvPr id="1352" name="Рисунок 1351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577552297"/>
          <a:ext cx="832406" cy="44895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1266</xdr:row>
      <xdr:rowOff>0</xdr:rowOff>
    </xdr:from>
    <xdr:to>
      <xdr:col>0</xdr:col>
      <xdr:colOff>638391</xdr:colOff>
      <xdr:row>1266</xdr:row>
      <xdr:rowOff>0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xmlns="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586606650"/>
          <a:ext cx="447891" cy="0"/>
        </a:xfrm>
        <a:prstGeom prst="rect">
          <a:avLst/>
        </a:prstGeom>
      </xdr:spPr>
    </xdr:pic>
    <xdr:clientData/>
  </xdr:twoCellAnchor>
  <xdr:twoCellAnchor>
    <xdr:from>
      <xdr:col>0</xdr:col>
      <xdr:colOff>198783</xdr:colOff>
      <xdr:row>1265</xdr:row>
      <xdr:rowOff>0</xdr:rowOff>
    </xdr:from>
    <xdr:to>
      <xdr:col>0</xdr:col>
      <xdr:colOff>646674</xdr:colOff>
      <xdr:row>1265</xdr:row>
      <xdr:rowOff>1630</xdr:rowOff>
    </xdr:to>
    <xdr:pic>
      <xdr:nvPicPr>
        <xdr:cNvPr id="1354" name="Рисунок 1353">
          <a:extLst>
            <a:ext uri="{FF2B5EF4-FFF2-40B4-BE49-F238E27FC236}">
              <a16:creationId xmlns:a16="http://schemas.microsoft.com/office/drawing/2014/main" xmlns="" id="{00000000-0008-0000-00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783" y="586101825"/>
          <a:ext cx="447891" cy="1630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1260</xdr:row>
      <xdr:rowOff>22412</xdr:rowOff>
    </xdr:from>
    <xdr:to>
      <xdr:col>0</xdr:col>
      <xdr:colOff>1372467</xdr:colOff>
      <xdr:row>1261</xdr:row>
      <xdr:rowOff>0</xdr:rowOff>
    </xdr:to>
    <xdr:pic>
      <xdr:nvPicPr>
        <xdr:cNvPr id="1355" name="Рисунок 1354">
          <a:extLst>
            <a:ext uri="{FF2B5EF4-FFF2-40B4-BE49-F238E27FC236}">
              <a16:creationId xmlns:a16="http://schemas.microsoft.com/office/drawing/2014/main" xmlns="" id="{00000000-0008-0000-00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579512206"/>
          <a:ext cx="789762" cy="501900"/>
        </a:xfrm>
        <a:prstGeom prst="rect">
          <a:avLst/>
        </a:prstGeom>
      </xdr:spPr>
    </xdr:pic>
    <xdr:clientData/>
  </xdr:twoCellAnchor>
  <xdr:twoCellAnchor>
    <xdr:from>
      <xdr:col>0</xdr:col>
      <xdr:colOff>794123</xdr:colOff>
      <xdr:row>1261</xdr:row>
      <xdr:rowOff>126751</xdr:rowOff>
    </xdr:from>
    <xdr:to>
      <xdr:col>0</xdr:col>
      <xdr:colOff>1292526</xdr:colOff>
      <xdr:row>1261</xdr:row>
      <xdr:rowOff>467534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xmlns="" id="{00000000-0008-0000-00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123" y="25933898"/>
          <a:ext cx="498403" cy="340783"/>
        </a:xfrm>
        <a:prstGeom prst="rect">
          <a:avLst/>
        </a:prstGeom>
      </xdr:spPr>
    </xdr:pic>
    <xdr:clientData/>
  </xdr:twoCellAnchor>
  <xdr:twoCellAnchor>
    <xdr:from>
      <xdr:col>0</xdr:col>
      <xdr:colOff>687480</xdr:colOff>
      <xdr:row>1262</xdr:row>
      <xdr:rowOff>41462</xdr:rowOff>
    </xdr:from>
    <xdr:to>
      <xdr:col>0</xdr:col>
      <xdr:colOff>1347880</xdr:colOff>
      <xdr:row>1263</xdr:row>
      <xdr:rowOff>31937</xdr:rowOff>
    </xdr:to>
    <xdr:pic>
      <xdr:nvPicPr>
        <xdr:cNvPr id="1360" name="Рисунок 1359">
          <a:extLst>
            <a:ext uri="{FF2B5EF4-FFF2-40B4-BE49-F238E27FC236}">
              <a16:creationId xmlns:a16="http://schemas.microsoft.com/office/drawing/2014/main" xmlns="" id="{00000000-0008-0000-00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480" y="581044050"/>
          <a:ext cx="660400" cy="494740"/>
        </a:xfrm>
        <a:prstGeom prst="rect">
          <a:avLst/>
        </a:prstGeom>
      </xdr:spPr>
    </xdr:pic>
    <xdr:clientData/>
  </xdr:twoCellAnchor>
  <xdr:twoCellAnchor>
    <xdr:from>
      <xdr:col>0</xdr:col>
      <xdr:colOff>697005</xdr:colOff>
      <xdr:row>1263</xdr:row>
      <xdr:rowOff>22412</xdr:rowOff>
    </xdr:from>
    <xdr:to>
      <xdr:col>0</xdr:col>
      <xdr:colOff>1357405</xdr:colOff>
      <xdr:row>1264</xdr:row>
      <xdr:rowOff>13447</xdr:rowOff>
    </xdr:to>
    <xdr:pic>
      <xdr:nvPicPr>
        <xdr:cNvPr id="1361" name="Рисунок 1360">
          <a:extLst>
            <a:ext uri="{FF2B5EF4-FFF2-40B4-BE49-F238E27FC236}">
              <a16:creationId xmlns:a16="http://schemas.microsoft.com/office/drawing/2014/main" xmlns="" id="{00000000-0008-0000-00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005" y="581529265"/>
          <a:ext cx="660400" cy="495300"/>
        </a:xfrm>
        <a:prstGeom prst="rect">
          <a:avLst/>
        </a:prstGeom>
      </xdr:spPr>
    </xdr:pic>
    <xdr:clientData/>
  </xdr:twoCellAnchor>
  <xdr:twoCellAnchor>
    <xdr:from>
      <xdr:col>0</xdr:col>
      <xdr:colOff>706530</xdr:colOff>
      <xdr:row>1264</xdr:row>
      <xdr:rowOff>22412</xdr:rowOff>
    </xdr:from>
    <xdr:to>
      <xdr:col>0</xdr:col>
      <xdr:colOff>1366930</xdr:colOff>
      <xdr:row>1265</xdr:row>
      <xdr:rowOff>13448</xdr:rowOff>
    </xdr:to>
    <xdr:pic>
      <xdr:nvPicPr>
        <xdr:cNvPr id="1362" name="Рисунок 1361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530" y="582033530"/>
          <a:ext cx="660400" cy="495300"/>
        </a:xfrm>
        <a:prstGeom prst="rect">
          <a:avLst/>
        </a:prstGeom>
      </xdr:spPr>
    </xdr:pic>
    <xdr:clientData/>
  </xdr:twoCellAnchor>
  <xdr:twoCellAnchor>
    <xdr:from>
      <xdr:col>0</xdr:col>
      <xdr:colOff>688538</xdr:colOff>
      <xdr:row>1251</xdr:row>
      <xdr:rowOff>32995</xdr:rowOff>
    </xdr:from>
    <xdr:to>
      <xdr:col>0</xdr:col>
      <xdr:colOff>1355288</xdr:colOff>
      <xdr:row>1252</xdr:row>
      <xdr:rowOff>25058</xdr:rowOff>
    </xdr:to>
    <xdr:pic>
      <xdr:nvPicPr>
        <xdr:cNvPr id="1368" name="Рисунок 1367">
          <a:extLst>
            <a:ext uri="{FF2B5EF4-FFF2-40B4-BE49-F238E27FC236}">
              <a16:creationId xmlns:a16="http://schemas.microsoft.com/office/drawing/2014/main" xmlns="" id="{00000000-0008-0000-00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538" y="571958819"/>
          <a:ext cx="666750" cy="496327"/>
        </a:xfrm>
        <a:prstGeom prst="rect">
          <a:avLst/>
        </a:prstGeom>
      </xdr:spPr>
    </xdr:pic>
    <xdr:clientData/>
  </xdr:twoCellAnchor>
  <xdr:twoCellAnchor>
    <xdr:from>
      <xdr:col>0</xdr:col>
      <xdr:colOff>709705</xdr:colOff>
      <xdr:row>1253</xdr:row>
      <xdr:rowOff>43579</xdr:rowOff>
    </xdr:from>
    <xdr:to>
      <xdr:col>0</xdr:col>
      <xdr:colOff>1376455</xdr:colOff>
      <xdr:row>1254</xdr:row>
      <xdr:rowOff>35642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xmlns="" id="{00000000-0008-0000-00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05" y="572977932"/>
          <a:ext cx="666750" cy="496328"/>
        </a:xfrm>
        <a:prstGeom prst="rect">
          <a:avLst/>
        </a:prstGeom>
      </xdr:spPr>
    </xdr:pic>
    <xdr:clientData/>
  </xdr:twoCellAnchor>
  <xdr:twoCellAnchor>
    <xdr:from>
      <xdr:col>0</xdr:col>
      <xdr:colOff>699121</xdr:colOff>
      <xdr:row>1252</xdr:row>
      <xdr:rowOff>64746</xdr:rowOff>
    </xdr:from>
    <xdr:to>
      <xdr:col>0</xdr:col>
      <xdr:colOff>1316432</xdr:colOff>
      <xdr:row>1253</xdr:row>
      <xdr:rowOff>15564</xdr:rowOff>
    </xdr:to>
    <xdr:pic>
      <xdr:nvPicPr>
        <xdr:cNvPr id="1370" name="Рисунок 1369">
          <a:extLst>
            <a:ext uri="{FF2B5EF4-FFF2-40B4-BE49-F238E27FC236}">
              <a16:creationId xmlns:a16="http://schemas.microsoft.com/office/drawing/2014/main" xmlns="" id="{00000000-0008-0000-0000-00005A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0" t="7959" r="14008" b="13917"/>
        <a:stretch/>
      </xdr:blipFill>
      <xdr:spPr>
        <a:xfrm>
          <a:off x="699121" y="572494834"/>
          <a:ext cx="617311" cy="455083"/>
        </a:xfrm>
        <a:prstGeom prst="rect">
          <a:avLst/>
        </a:prstGeom>
      </xdr:spPr>
    </xdr:pic>
    <xdr:clientData/>
  </xdr:twoCellAnchor>
  <xdr:twoCellAnchor>
    <xdr:from>
      <xdr:col>0</xdr:col>
      <xdr:colOff>699122</xdr:colOff>
      <xdr:row>1254</xdr:row>
      <xdr:rowOff>64745</xdr:rowOff>
    </xdr:from>
    <xdr:to>
      <xdr:col>0</xdr:col>
      <xdr:colOff>1316433</xdr:colOff>
      <xdr:row>1255</xdr:row>
      <xdr:rowOff>0</xdr:rowOff>
    </xdr:to>
    <xdr:pic>
      <xdr:nvPicPr>
        <xdr:cNvPr id="1371" name="Рисунок 1370">
          <a:extLst>
            <a:ext uri="{FF2B5EF4-FFF2-40B4-BE49-F238E27FC236}">
              <a16:creationId xmlns:a16="http://schemas.microsoft.com/office/drawing/2014/main" xmlns="" id="{00000000-0008-0000-0000-00005B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0" t="7959" r="14008" b="13917"/>
        <a:stretch/>
      </xdr:blipFill>
      <xdr:spPr>
        <a:xfrm>
          <a:off x="699122" y="573503363"/>
          <a:ext cx="617311" cy="455083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1277</xdr:row>
      <xdr:rowOff>22412</xdr:rowOff>
    </xdr:from>
    <xdr:to>
      <xdr:col>0</xdr:col>
      <xdr:colOff>1370983</xdr:colOff>
      <xdr:row>1278</xdr:row>
      <xdr:rowOff>0</xdr:rowOff>
    </xdr:to>
    <xdr:pic>
      <xdr:nvPicPr>
        <xdr:cNvPr id="1376" name="Рисунок 1375">
          <a:extLst>
            <a:ext uri="{FF2B5EF4-FFF2-40B4-BE49-F238E27FC236}">
              <a16:creationId xmlns:a16="http://schemas.microsoft.com/office/drawing/2014/main" xmlns="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588588971"/>
          <a:ext cx="788278" cy="501900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1278</xdr:row>
      <xdr:rowOff>0</xdr:rowOff>
    </xdr:from>
    <xdr:to>
      <xdr:col>0</xdr:col>
      <xdr:colOff>1370983</xdr:colOff>
      <xdr:row>1278</xdr:row>
      <xdr:rowOff>20048</xdr:rowOff>
    </xdr:to>
    <xdr:pic>
      <xdr:nvPicPr>
        <xdr:cNvPr id="1377" name="Рисунок 1376">
          <a:extLst>
            <a:ext uri="{FF2B5EF4-FFF2-40B4-BE49-F238E27FC236}">
              <a16:creationId xmlns:a16="http://schemas.microsoft.com/office/drawing/2014/main" xmlns="" id="{00000000-0008-0000-00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589093236"/>
          <a:ext cx="788278" cy="501900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1278</xdr:row>
      <xdr:rowOff>22412</xdr:rowOff>
    </xdr:from>
    <xdr:to>
      <xdr:col>0</xdr:col>
      <xdr:colOff>1370983</xdr:colOff>
      <xdr:row>1279</xdr:row>
      <xdr:rowOff>20047</xdr:rowOff>
    </xdr:to>
    <xdr:pic>
      <xdr:nvPicPr>
        <xdr:cNvPr id="1378" name="Рисунок 1377">
          <a:extLst>
            <a:ext uri="{FF2B5EF4-FFF2-40B4-BE49-F238E27FC236}">
              <a16:creationId xmlns:a16="http://schemas.microsoft.com/office/drawing/2014/main" xmlns="" id="{00000000-0008-0000-00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589597500"/>
          <a:ext cx="788278" cy="501900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1279</xdr:row>
      <xdr:rowOff>22412</xdr:rowOff>
    </xdr:from>
    <xdr:to>
      <xdr:col>0</xdr:col>
      <xdr:colOff>1370983</xdr:colOff>
      <xdr:row>1280</xdr:row>
      <xdr:rowOff>0</xdr:rowOff>
    </xdr:to>
    <xdr:pic>
      <xdr:nvPicPr>
        <xdr:cNvPr id="1379" name="Рисунок 1378">
          <a:extLst>
            <a:ext uri="{FF2B5EF4-FFF2-40B4-BE49-F238E27FC236}">
              <a16:creationId xmlns:a16="http://schemas.microsoft.com/office/drawing/2014/main" xmlns="" id="{00000000-0008-0000-00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590101765"/>
          <a:ext cx="788278" cy="501900"/>
        </a:xfrm>
        <a:prstGeom prst="rect">
          <a:avLst/>
        </a:prstGeom>
      </xdr:spPr>
    </xdr:pic>
    <xdr:clientData/>
  </xdr:twoCellAnchor>
  <xdr:twoCellAnchor>
    <xdr:from>
      <xdr:col>0</xdr:col>
      <xdr:colOff>683559</xdr:colOff>
      <xdr:row>1281</xdr:row>
      <xdr:rowOff>1</xdr:rowOff>
    </xdr:from>
    <xdr:to>
      <xdr:col>0</xdr:col>
      <xdr:colOff>1299761</xdr:colOff>
      <xdr:row>1281</xdr:row>
      <xdr:rowOff>492376</xdr:rowOff>
    </xdr:to>
    <xdr:pic>
      <xdr:nvPicPr>
        <xdr:cNvPr id="1380" name="Рисунок 1379">
          <a:extLst>
            <a:ext uri="{FF2B5EF4-FFF2-40B4-BE49-F238E27FC236}">
              <a16:creationId xmlns:a16="http://schemas.microsoft.com/office/drawing/2014/main" xmlns="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59" y="593609207"/>
          <a:ext cx="616202" cy="492375"/>
        </a:xfrm>
        <a:prstGeom prst="rect">
          <a:avLst/>
        </a:prstGeom>
      </xdr:spPr>
    </xdr:pic>
    <xdr:clientData/>
  </xdr:twoCellAnchor>
  <xdr:twoCellAnchor>
    <xdr:from>
      <xdr:col>0</xdr:col>
      <xdr:colOff>651060</xdr:colOff>
      <xdr:row>1282</xdr:row>
      <xdr:rowOff>26895</xdr:rowOff>
    </xdr:from>
    <xdr:to>
      <xdr:col>0</xdr:col>
      <xdr:colOff>1426446</xdr:colOff>
      <xdr:row>1282</xdr:row>
      <xdr:rowOff>492795</xdr:rowOff>
    </xdr:to>
    <xdr:pic>
      <xdr:nvPicPr>
        <xdr:cNvPr id="1381" name="Рисунок 1380">
          <a:extLst>
            <a:ext uri="{FF2B5EF4-FFF2-40B4-BE49-F238E27FC236}">
              <a16:creationId xmlns:a16="http://schemas.microsoft.com/office/drawing/2014/main" xmlns="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60" y="594140366"/>
          <a:ext cx="775386" cy="465900"/>
        </a:xfrm>
        <a:prstGeom prst="rect">
          <a:avLst/>
        </a:prstGeom>
      </xdr:spPr>
    </xdr:pic>
    <xdr:clientData/>
  </xdr:twoCellAnchor>
  <xdr:twoCellAnchor>
    <xdr:from>
      <xdr:col>0</xdr:col>
      <xdr:colOff>730820</xdr:colOff>
      <xdr:row>1284</xdr:row>
      <xdr:rowOff>38977</xdr:rowOff>
    </xdr:from>
    <xdr:to>
      <xdr:col>0</xdr:col>
      <xdr:colOff>1540820</xdr:colOff>
      <xdr:row>1285</xdr:row>
      <xdr:rowOff>8037</xdr:rowOff>
    </xdr:to>
    <xdr:pic>
      <xdr:nvPicPr>
        <xdr:cNvPr id="1382" name="Рисунок 1381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820" y="570452006"/>
          <a:ext cx="810000" cy="473325"/>
        </a:xfrm>
        <a:prstGeom prst="rect">
          <a:avLst/>
        </a:prstGeom>
      </xdr:spPr>
    </xdr:pic>
    <xdr:clientData/>
  </xdr:twoCellAnchor>
  <xdr:twoCellAnchor>
    <xdr:from>
      <xdr:col>0</xdr:col>
      <xdr:colOff>745339</xdr:colOff>
      <xdr:row>1285</xdr:row>
      <xdr:rowOff>31085</xdr:rowOff>
    </xdr:from>
    <xdr:to>
      <xdr:col>0</xdr:col>
      <xdr:colOff>1555339</xdr:colOff>
      <xdr:row>1286</xdr:row>
      <xdr:rowOff>9670</xdr:rowOff>
    </xdr:to>
    <xdr:pic>
      <xdr:nvPicPr>
        <xdr:cNvPr id="1383" name="Рисунок 1382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39" y="570948379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748653</xdr:colOff>
      <xdr:row>1286</xdr:row>
      <xdr:rowOff>34399</xdr:rowOff>
    </xdr:from>
    <xdr:to>
      <xdr:col>0</xdr:col>
      <xdr:colOff>1558653</xdr:colOff>
      <xdr:row>1287</xdr:row>
      <xdr:rowOff>12984</xdr:rowOff>
    </xdr:to>
    <xdr:pic>
      <xdr:nvPicPr>
        <xdr:cNvPr id="1384" name="Рисунок 1383">
          <a:extLst>
            <a:ext uri="{FF2B5EF4-FFF2-40B4-BE49-F238E27FC236}">
              <a16:creationId xmlns:a16="http://schemas.microsoft.com/office/drawing/2014/main" xmlns="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53" y="571455958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753622</xdr:colOff>
      <xdr:row>1287</xdr:row>
      <xdr:rowOff>31085</xdr:rowOff>
    </xdr:from>
    <xdr:to>
      <xdr:col>0</xdr:col>
      <xdr:colOff>1563622</xdr:colOff>
      <xdr:row>1288</xdr:row>
      <xdr:rowOff>9671</xdr:rowOff>
    </xdr:to>
    <xdr:pic>
      <xdr:nvPicPr>
        <xdr:cNvPr id="1385" name="Рисунок 1384">
          <a:extLst>
            <a:ext uri="{FF2B5EF4-FFF2-40B4-BE49-F238E27FC236}">
              <a16:creationId xmlns:a16="http://schemas.microsoft.com/office/drawing/2014/main" xmlns="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622" y="571956909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756935</xdr:colOff>
      <xdr:row>1288</xdr:row>
      <xdr:rowOff>34398</xdr:rowOff>
    </xdr:from>
    <xdr:to>
      <xdr:col>0</xdr:col>
      <xdr:colOff>1566935</xdr:colOff>
      <xdr:row>1289</xdr:row>
      <xdr:rowOff>12983</xdr:rowOff>
    </xdr:to>
    <xdr:pic>
      <xdr:nvPicPr>
        <xdr:cNvPr id="1386" name="Рисунок 1385">
          <a:extLst>
            <a:ext uri="{FF2B5EF4-FFF2-40B4-BE49-F238E27FC236}">
              <a16:creationId xmlns:a16="http://schemas.microsoft.com/office/drawing/2014/main" xmlns="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935" y="572464486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756936</xdr:colOff>
      <xdr:row>1289</xdr:row>
      <xdr:rowOff>34399</xdr:rowOff>
    </xdr:from>
    <xdr:to>
      <xdr:col>0</xdr:col>
      <xdr:colOff>1566936</xdr:colOff>
      <xdr:row>1290</xdr:row>
      <xdr:rowOff>12984</xdr:rowOff>
    </xdr:to>
    <xdr:pic>
      <xdr:nvPicPr>
        <xdr:cNvPr id="1387" name="Рисунок 1386">
          <a:extLst>
            <a:ext uri="{FF2B5EF4-FFF2-40B4-BE49-F238E27FC236}">
              <a16:creationId xmlns:a16="http://schemas.microsoft.com/office/drawing/2014/main" xmlns="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936" y="572968752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760249</xdr:colOff>
      <xdr:row>1290</xdr:row>
      <xdr:rowOff>37712</xdr:rowOff>
    </xdr:from>
    <xdr:to>
      <xdr:col>0</xdr:col>
      <xdr:colOff>1570249</xdr:colOff>
      <xdr:row>1291</xdr:row>
      <xdr:rowOff>16298</xdr:rowOff>
    </xdr:to>
    <xdr:pic>
      <xdr:nvPicPr>
        <xdr:cNvPr id="1388" name="Рисунок 1387">
          <a:extLst>
            <a:ext uri="{FF2B5EF4-FFF2-40B4-BE49-F238E27FC236}">
              <a16:creationId xmlns:a16="http://schemas.microsoft.com/office/drawing/2014/main" xmlns="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249" y="573476330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745752</xdr:colOff>
      <xdr:row>1292</xdr:row>
      <xdr:rowOff>68356</xdr:rowOff>
    </xdr:from>
    <xdr:to>
      <xdr:col>0</xdr:col>
      <xdr:colOff>1546970</xdr:colOff>
      <xdr:row>1292</xdr:row>
      <xdr:rowOff>500356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xmlns="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752" y="16798738"/>
          <a:ext cx="801218" cy="432000"/>
        </a:xfrm>
        <a:prstGeom prst="rect">
          <a:avLst/>
        </a:prstGeom>
      </xdr:spPr>
    </xdr:pic>
    <xdr:clientData/>
  </xdr:twoCellAnchor>
  <xdr:twoCellAnchor>
    <xdr:from>
      <xdr:col>0</xdr:col>
      <xdr:colOff>745752</xdr:colOff>
      <xdr:row>1295</xdr:row>
      <xdr:rowOff>77881</xdr:rowOff>
    </xdr:from>
    <xdr:to>
      <xdr:col>0</xdr:col>
      <xdr:colOff>1546970</xdr:colOff>
      <xdr:row>1296</xdr:row>
      <xdr:rowOff>5616</xdr:rowOff>
    </xdr:to>
    <xdr:pic>
      <xdr:nvPicPr>
        <xdr:cNvPr id="1390" name="Рисунок 1389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752" y="18321057"/>
          <a:ext cx="801218" cy="432000"/>
        </a:xfrm>
        <a:prstGeom prst="rect">
          <a:avLst/>
        </a:prstGeom>
      </xdr:spPr>
    </xdr:pic>
    <xdr:clientData/>
  </xdr:twoCellAnchor>
  <xdr:twoCellAnchor>
    <xdr:from>
      <xdr:col>0</xdr:col>
      <xdr:colOff>717177</xdr:colOff>
      <xdr:row>1293</xdr:row>
      <xdr:rowOff>106456</xdr:rowOff>
    </xdr:from>
    <xdr:to>
      <xdr:col>0</xdr:col>
      <xdr:colOff>1518395</xdr:colOff>
      <xdr:row>1294</xdr:row>
      <xdr:rowOff>15141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7" y="17341103"/>
          <a:ext cx="801218" cy="412950"/>
        </a:xfrm>
        <a:prstGeom prst="rect">
          <a:avLst/>
        </a:prstGeom>
      </xdr:spPr>
    </xdr:pic>
    <xdr:clientData/>
  </xdr:twoCellAnchor>
  <xdr:twoCellAnchor>
    <xdr:from>
      <xdr:col>0</xdr:col>
      <xdr:colOff>717177</xdr:colOff>
      <xdr:row>1294</xdr:row>
      <xdr:rowOff>106456</xdr:rowOff>
    </xdr:from>
    <xdr:to>
      <xdr:col>0</xdr:col>
      <xdr:colOff>1518395</xdr:colOff>
      <xdr:row>1295</xdr:row>
      <xdr:rowOff>15142</xdr:rowOff>
    </xdr:to>
    <xdr:pic>
      <xdr:nvPicPr>
        <xdr:cNvPr id="1392" name="Рисунок 1391">
          <a:extLst>
            <a:ext uri="{FF2B5EF4-FFF2-40B4-BE49-F238E27FC236}">
              <a16:creationId xmlns:a16="http://schemas.microsoft.com/office/drawing/2014/main" xmlns="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177" y="17845368"/>
          <a:ext cx="801218" cy="412950"/>
        </a:xfrm>
        <a:prstGeom prst="rect">
          <a:avLst/>
        </a:prstGeom>
      </xdr:spPr>
    </xdr:pic>
    <xdr:clientData/>
  </xdr:twoCellAnchor>
  <xdr:twoCellAnchor>
    <xdr:from>
      <xdr:col>0</xdr:col>
      <xdr:colOff>722924</xdr:colOff>
      <xdr:row>1297</xdr:row>
      <xdr:rowOff>11592</xdr:rowOff>
    </xdr:from>
    <xdr:to>
      <xdr:col>0</xdr:col>
      <xdr:colOff>1532924</xdr:colOff>
      <xdr:row>1297</xdr:row>
      <xdr:rowOff>503967</xdr:rowOff>
    </xdr:to>
    <xdr:pic>
      <xdr:nvPicPr>
        <xdr:cNvPr id="1393" name="Рисунок 1392">
          <a:extLst>
            <a:ext uri="{FF2B5EF4-FFF2-40B4-BE49-F238E27FC236}">
              <a16:creationId xmlns:a16="http://schemas.microsoft.com/office/drawing/2014/main" xmlns="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924" y="17246239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745336</xdr:colOff>
      <xdr:row>1298</xdr:row>
      <xdr:rowOff>19875</xdr:rowOff>
    </xdr:from>
    <xdr:to>
      <xdr:col>0</xdr:col>
      <xdr:colOff>1555336</xdr:colOff>
      <xdr:row>1298</xdr:row>
      <xdr:rowOff>502725</xdr:rowOff>
    </xdr:to>
    <xdr:pic>
      <xdr:nvPicPr>
        <xdr:cNvPr id="1394" name="Рисунок 1393">
          <a:extLst>
            <a:ext uri="{FF2B5EF4-FFF2-40B4-BE49-F238E27FC236}">
              <a16:creationId xmlns:a16="http://schemas.microsoft.com/office/drawing/2014/main" xmlns="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36" y="17758787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921683</xdr:colOff>
      <xdr:row>1301</xdr:row>
      <xdr:rowOff>30255</xdr:rowOff>
    </xdr:from>
    <xdr:to>
      <xdr:col>0</xdr:col>
      <xdr:colOff>1369574</xdr:colOff>
      <xdr:row>1302</xdr:row>
      <xdr:rowOff>8840</xdr:rowOff>
    </xdr:to>
    <xdr:pic>
      <xdr:nvPicPr>
        <xdr:cNvPr id="1399" name="Рисунок 1398">
          <a:extLst>
            <a:ext uri="{FF2B5EF4-FFF2-40B4-BE49-F238E27FC236}">
              <a16:creationId xmlns:a16="http://schemas.microsoft.com/office/drawing/2014/main" xmlns="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83" y="18273431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921683</xdr:colOff>
      <xdr:row>1302</xdr:row>
      <xdr:rowOff>39780</xdr:rowOff>
    </xdr:from>
    <xdr:to>
      <xdr:col>0</xdr:col>
      <xdr:colOff>1369574</xdr:colOff>
      <xdr:row>1303</xdr:row>
      <xdr:rowOff>17805</xdr:rowOff>
    </xdr:to>
    <xdr:pic>
      <xdr:nvPicPr>
        <xdr:cNvPr id="1400" name="Рисунок 1399">
          <a:extLst>
            <a:ext uri="{FF2B5EF4-FFF2-40B4-BE49-F238E27FC236}">
              <a16:creationId xmlns:a16="http://schemas.microsoft.com/office/drawing/2014/main" xmlns="" id="{00000000-0008-0000-00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683" y="18787221"/>
          <a:ext cx="447891" cy="482290"/>
        </a:xfrm>
        <a:prstGeom prst="rect">
          <a:avLst/>
        </a:prstGeom>
      </xdr:spPr>
    </xdr:pic>
    <xdr:clientData/>
  </xdr:twoCellAnchor>
  <xdr:twoCellAnchor>
    <xdr:from>
      <xdr:col>0</xdr:col>
      <xdr:colOff>931208</xdr:colOff>
      <xdr:row>1303</xdr:row>
      <xdr:rowOff>49305</xdr:rowOff>
    </xdr:from>
    <xdr:to>
      <xdr:col>0</xdr:col>
      <xdr:colOff>1372977</xdr:colOff>
      <xdr:row>1304</xdr:row>
      <xdr:rowOff>20730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208" y="19301011"/>
          <a:ext cx="441769" cy="475690"/>
        </a:xfrm>
        <a:prstGeom prst="rect">
          <a:avLst/>
        </a:prstGeom>
      </xdr:spPr>
    </xdr:pic>
    <xdr:clientData/>
  </xdr:twoCellAnchor>
  <xdr:twoCellAnchor>
    <xdr:from>
      <xdr:col>0</xdr:col>
      <xdr:colOff>778808</xdr:colOff>
      <xdr:row>1304</xdr:row>
      <xdr:rowOff>39780</xdr:rowOff>
    </xdr:from>
    <xdr:to>
      <xdr:col>0</xdr:col>
      <xdr:colOff>1500329</xdr:colOff>
      <xdr:row>1304</xdr:row>
      <xdr:rowOff>496980</xdr:rowOff>
    </xdr:to>
    <xdr:pic>
      <xdr:nvPicPr>
        <xdr:cNvPr id="1402" name="Рисунок 1401">
          <a:extLst>
            <a:ext uri="{FF2B5EF4-FFF2-40B4-BE49-F238E27FC236}">
              <a16:creationId xmlns:a16="http://schemas.microsoft.com/office/drawing/2014/main" xmlns="" id="{00000000-0008-0000-00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30" r="11695"/>
        <a:stretch>
          <a:fillRect/>
        </a:stretch>
      </xdr:blipFill>
      <xdr:spPr>
        <a:xfrm>
          <a:off x="778808" y="19795751"/>
          <a:ext cx="721521" cy="457200"/>
        </a:xfrm>
        <a:prstGeom prst="rect">
          <a:avLst/>
        </a:prstGeom>
      </xdr:spPr>
    </xdr:pic>
    <xdr:clientData/>
  </xdr:twoCellAnchor>
  <xdr:twoCellAnchor>
    <xdr:from>
      <xdr:col>0</xdr:col>
      <xdr:colOff>750233</xdr:colOff>
      <xdr:row>1305</xdr:row>
      <xdr:rowOff>49305</xdr:rowOff>
    </xdr:from>
    <xdr:to>
      <xdr:col>0</xdr:col>
      <xdr:colOff>1521758</xdr:colOff>
      <xdr:row>1305</xdr:row>
      <xdr:rowOff>465419</xdr:rowOff>
    </xdr:to>
    <xdr:pic>
      <xdr:nvPicPr>
        <xdr:cNvPr id="1403" name="Рисунок 1402">
          <a:extLst>
            <a:ext uri="{FF2B5EF4-FFF2-40B4-BE49-F238E27FC236}">
              <a16:creationId xmlns:a16="http://schemas.microsoft.com/office/drawing/2014/main" xmlns="" id="{00000000-0008-0000-00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233" y="20309540"/>
          <a:ext cx="771525" cy="416114"/>
        </a:xfrm>
        <a:prstGeom prst="rect">
          <a:avLst/>
        </a:prstGeom>
      </xdr:spPr>
    </xdr:pic>
    <xdr:clientData/>
  </xdr:twoCellAnchor>
  <xdr:twoCellAnchor>
    <xdr:from>
      <xdr:col>0</xdr:col>
      <xdr:colOff>826434</xdr:colOff>
      <xdr:row>1300</xdr:row>
      <xdr:rowOff>39780</xdr:rowOff>
    </xdr:from>
    <xdr:to>
      <xdr:col>0</xdr:col>
      <xdr:colOff>1426508</xdr:colOff>
      <xdr:row>1300</xdr:row>
      <xdr:rowOff>496980</xdr:rowOff>
    </xdr:to>
    <xdr:pic>
      <xdr:nvPicPr>
        <xdr:cNvPr id="1404" name="Рисунок 1403" descr="C:\Users\market\Documents\KeyShot 9\Renderings\Светильник для школьных досок\master led.jpg">
          <a:extLst>
            <a:ext uri="{FF2B5EF4-FFF2-40B4-BE49-F238E27FC236}">
              <a16:creationId xmlns:a16="http://schemas.microsoft.com/office/drawing/2014/main" xmlns="" id="{00000000-0008-0000-0000-00007C050000}"/>
            </a:ext>
          </a:extLst>
        </xdr:cNvPr>
        <xdr:cNvPicPr/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434" y="17778692"/>
          <a:ext cx="600074" cy="4572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901901</xdr:colOff>
      <xdr:row>1308</xdr:row>
      <xdr:rowOff>33187</xdr:rowOff>
    </xdr:from>
    <xdr:to>
      <xdr:col>0</xdr:col>
      <xdr:colOff>1349792</xdr:colOff>
      <xdr:row>1308</xdr:row>
      <xdr:rowOff>477931</xdr:rowOff>
    </xdr:to>
    <xdr:pic>
      <xdr:nvPicPr>
        <xdr:cNvPr id="1405" name="Рисунок 1404">
          <a:extLst>
            <a:ext uri="{FF2B5EF4-FFF2-40B4-BE49-F238E27FC236}">
              <a16:creationId xmlns:a16="http://schemas.microsoft.com/office/drawing/2014/main" xmlns="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901" y="21806216"/>
          <a:ext cx="447891" cy="444744"/>
        </a:xfrm>
        <a:prstGeom prst="rect">
          <a:avLst/>
        </a:prstGeom>
      </xdr:spPr>
    </xdr:pic>
    <xdr:clientData/>
  </xdr:twoCellAnchor>
  <xdr:twoCellAnchor>
    <xdr:from>
      <xdr:col>0</xdr:col>
      <xdr:colOff>712133</xdr:colOff>
      <xdr:row>1306</xdr:row>
      <xdr:rowOff>30255</xdr:rowOff>
    </xdr:from>
    <xdr:to>
      <xdr:col>0</xdr:col>
      <xdr:colOff>1510768</xdr:colOff>
      <xdr:row>1307</xdr:row>
      <xdr:rowOff>8840</xdr:rowOff>
    </xdr:to>
    <xdr:pic>
      <xdr:nvPicPr>
        <xdr:cNvPr id="1406" name="Рисунок 1405">
          <a:extLst>
            <a:ext uri="{FF2B5EF4-FFF2-40B4-BE49-F238E27FC236}">
              <a16:creationId xmlns:a16="http://schemas.microsoft.com/office/drawing/2014/main" xmlns="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808"/>
        <a:stretch>
          <a:fillRect/>
        </a:stretch>
      </xdr:blipFill>
      <xdr:spPr>
        <a:xfrm>
          <a:off x="712133" y="20794755"/>
          <a:ext cx="798635" cy="482850"/>
        </a:xfrm>
        <a:prstGeom prst="rect">
          <a:avLst/>
        </a:prstGeom>
      </xdr:spPr>
    </xdr:pic>
    <xdr:clientData/>
  </xdr:twoCellAnchor>
  <xdr:twoCellAnchor>
    <xdr:from>
      <xdr:col>0</xdr:col>
      <xdr:colOff>341099</xdr:colOff>
      <xdr:row>1307</xdr:row>
      <xdr:rowOff>37247</xdr:rowOff>
    </xdr:from>
    <xdr:to>
      <xdr:col>0</xdr:col>
      <xdr:colOff>1938618</xdr:colOff>
      <xdr:row>1307</xdr:row>
      <xdr:rowOff>486197</xdr:rowOff>
    </xdr:to>
    <xdr:pic>
      <xdr:nvPicPr>
        <xdr:cNvPr id="1407" name="Рисунок 1406">
          <a:extLst>
            <a:ext uri="{FF2B5EF4-FFF2-40B4-BE49-F238E27FC236}">
              <a16:creationId xmlns:a16="http://schemas.microsoft.com/office/drawing/2014/main" xmlns="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099" y="21306012"/>
          <a:ext cx="1597519" cy="448950"/>
        </a:xfrm>
        <a:prstGeom prst="rect">
          <a:avLst/>
        </a:prstGeom>
      </xdr:spPr>
    </xdr:pic>
    <xdr:clientData/>
  </xdr:twoCellAnchor>
  <xdr:twoCellAnchor>
    <xdr:from>
      <xdr:col>0</xdr:col>
      <xdr:colOff>721658</xdr:colOff>
      <xdr:row>1310</xdr:row>
      <xdr:rowOff>30255</xdr:rowOff>
    </xdr:from>
    <xdr:to>
      <xdr:col>0</xdr:col>
      <xdr:colOff>1501572</xdr:colOff>
      <xdr:row>1311</xdr:row>
      <xdr:rowOff>8840</xdr:rowOff>
    </xdr:to>
    <xdr:pic>
      <xdr:nvPicPr>
        <xdr:cNvPr id="1408" name="Рисунок 1407">
          <a:extLst>
            <a:ext uri="{FF2B5EF4-FFF2-40B4-BE49-F238E27FC236}">
              <a16:creationId xmlns:a16="http://schemas.microsoft.com/office/drawing/2014/main" xmlns="" id="{00000000-0008-0000-00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658" y="22811814"/>
          <a:ext cx="779914" cy="482850"/>
        </a:xfrm>
        <a:prstGeom prst="rect">
          <a:avLst/>
        </a:prstGeom>
      </xdr:spPr>
    </xdr:pic>
    <xdr:clientData/>
  </xdr:twoCellAnchor>
  <xdr:twoCellAnchor>
    <xdr:from>
      <xdr:col>0</xdr:col>
      <xdr:colOff>712133</xdr:colOff>
      <xdr:row>1309</xdr:row>
      <xdr:rowOff>68355</xdr:rowOff>
    </xdr:from>
    <xdr:to>
      <xdr:col>0</xdr:col>
      <xdr:colOff>1513351</xdr:colOff>
      <xdr:row>1309</xdr:row>
      <xdr:rowOff>500355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xmlns="" id="{00000000-0008-0000-00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133" y="22345649"/>
          <a:ext cx="801218" cy="432000"/>
        </a:xfrm>
        <a:prstGeom prst="rect">
          <a:avLst/>
        </a:prstGeom>
      </xdr:spPr>
    </xdr:pic>
    <xdr:clientData/>
  </xdr:twoCellAnchor>
  <xdr:twoCellAnchor>
    <xdr:from>
      <xdr:col>0</xdr:col>
      <xdr:colOff>693083</xdr:colOff>
      <xdr:row>1311</xdr:row>
      <xdr:rowOff>49305</xdr:rowOff>
    </xdr:from>
    <xdr:to>
      <xdr:col>0</xdr:col>
      <xdr:colOff>1483658</xdr:colOff>
      <xdr:row>1311</xdr:row>
      <xdr:rowOff>494003</xdr:rowOff>
    </xdr:to>
    <xdr:pic>
      <xdr:nvPicPr>
        <xdr:cNvPr id="1410" name="Рисунок 1409">
          <a:extLst>
            <a:ext uri="{FF2B5EF4-FFF2-40B4-BE49-F238E27FC236}">
              <a16:creationId xmlns:a16="http://schemas.microsoft.com/office/drawing/2014/main" xmlns="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083" y="23335129"/>
          <a:ext cx="790575" cy="444698"/>
        </a:xfrm>
        <a:prstGeom prst="rect">
          <a:avLst/>
        </a:prstGeom>
      </xdr:spPr>
    </xdr:pic>
    <xdr:clientData/>
  </xdr:twoCellAnchor>
  <xdr:twoCellAnchor>
    <xdr:from>
      <xdr:col>0</xdr:col>
      <xdr:colOff>650772</xdr:colOff>
      <xdr:row>1317</xdr:row>
      <xdr:rowOff>38834</xdr:rowOff>
    </xdr:from>
    <xdr:to>
      <xdr:col>0</xdr:col>
      <xdr:colOff>1445006</xdr:colOff>
      <xdr:row>1318</xdr:row>
      <xdr:rowOff>26944</xdr:rowOff>
    </xdr:to>
    <xdr:pic>
      <xdr:nvPicPr>
        <xdr:cNvPr id="1367" name="Рисунок 1366">
          <a:extLst>
            <a:ext uri="{FF2B5EF4-FFF2-40B4-BE49-F238E27FC236}">
              <a16:creationId xmlns:a16="http://schemas.microsoft.com/office/drawing/2014/main" xmlns="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772" y="578015834"/>
          <a:ext cx="794234" cy="492375"/>
        </a:xfrm>
        <a:prstGeom prst="rect">
          <a:avLst/>
        </a:prstGeom>
      </xdr:spPr>
    </xdr:pic>
    <xdr:clientData/>
  </xdr:twoCellAnchor>
  <xdr:twoCellAnchor>
    <xdr:from>
      <xdr:col>0</xdr:col>
      <xdr:colOff>652453</xdr:colOff>
      <xdr:row>1314</xdr:row>
      <xdr:rowOff>27627</xdr:rowOff>
    </xdr:from>
    <xdr:to>
      <xdr:col>0</xdr:col>
      <xdr:colOff>1446687</xdr:colOff>
      <xdr:row>1315</xdr:row>
      <xdr:rowOff>15737</xdr:rowOff>
    </xdr:to>
    <xdr:pic>
      <xdr:nvPicPr>
        <xdr:cNvPr id="1411" name="Рисунок 1410">
          <a:extLst>
            <a:ext uri="{FF2B5EF4-FFF2-40B4-BE49-F238E27FC236}">
              <a16:creationId xmlns:a16="http://schemas.microsoft.com/office/drawing/2014/main" xmlns="" id="{00000000-0008-0000-00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453" y="576491833"/>
          <a:ext cx="794234" cy="492375"/>
        </a:xfrm>
        <a:prstGeom prst="rect">
          <a:avLst/>
        </a:prstGeom>
      </xdr:spPr>
    </xdr:pic>
    <xdr:clientData/>
  </xdr:twoCellAnchor>
  <xdr:twoCellAnchor>
    <xdr:from>
      <xdr:col>0</xdr:col>
      <xdr:colOff>650772</xdr:colOff>
      <xdr:row>1315</xdr:row>
      <xdr:rowOff>38834</xdr:rowOff>
    </xdr:from>
    <xdr:to>
      <xdr:col>0</xdr:col>
      <xdr:colOff>1445006</xdr:colOff>
      <xdr:row>1316</xdr:row>
      <xdr:rowOff>26945</xdr:rowOff>
    </xdr:to>
    <xdr:pic>
      <xdr:nvPicPr>
        <xdr:cNvPr id="1412" name="Рисунок 1411">
          <a:extLst>
            <a:ext uri="{FF2B5EF4-FFF2-40B4-BE49-F238E27FC236}">
              <a16:creationId xmlns:a16="http://schemas.microsoft.com/office/drawing/2014/main" xmlns="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772" y="577007305"/>
          <a:ext cx="794234" cy="492375"/>
        </a:xfrm>
        <a:prstGeom prst="rect">
          <a:avLst/>
        </a:prstGeom>
      </xdr:spPr>
    </xdr:pic>
    <xdr:clientData/>
  </xdr:twoCellAnchor>
  <xdr:twoCellAnchor>
    <xdr:from>
      <xdr:col>0</xdr:col>
      <xdr:colOff>641247</xdr:colOff>
      <xdr:row>1316</xdr:row>
      <xdr:rowOff>38834</xdr:rowOff>
    </xdr:from>
    <xdr:to>
      <xdr:col>0</xdr:col>
      <xdr:colOff>1435481</xdr:colOff>
      <xdr:row>1317</xdr:row>
      <xdr:rowOff>26944</xdr:rowOff>
    </xdr:to>
    <xdr:pic>
      <xdr:nvPicPr>
        <xdr:cNvPr id="1413" name="Рисунок 1412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247" y="577511569"/>
          <a:ext cx="794234" cy="492375"/>
        </a:xfrm>
        <a:prstGeom prst="rect">
          <a:avLst/>
        </a:prstGeom>
      </xdr:spPr>
    </xdr:pic>
    <xdr:clientData/>
  </xdr:twoCellAnchor>
  <xdr:twoCellAnchor>
    <xdr:from>
      <xdr:col>0</xdr:col>
      <xdr:colOff>694205</xdr:colOff>
      <xdr:row>1326</xdr:row>
      <xdr:rowOff>19050</xdr:rowOff>
    </xdr:from>
    <xdr:to>
      <xdr:col>0</xdr:col>
      <xdr:colOff>1354352</xdr:colOff>
      <xdr:row>1326</xdr:row>
      <xdr:rowOff>501900</xdr:rowOff>
    </xdr:to>
    <xdr:pic>
      <xdr:nvPicPr>
        <xdr:cNvPr id="1414" name="Рисунок 1413"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05" y="581525903"/>
          <a:ext cx="660147" cy="482850"/>
        </a:xfrm>
        <a:prstGeom prst="rect">
          <a:avLst/>
        </a:prstGeom>
      </xdr:spPr>
    </xdr:pic>
    <xdr:clientData/>
  </xdr:twoCellAnchor>
  <xdr:twoCellAnchor>
    <xdr:from>
      <xdr:col>0</xdr:col>
      <xdr:colOff>21981</xdr:colOff>
      <xdr:row>1327</xdr:row>
      <xdr:rowOff>0</xdr:rowOff>
    </xdr:from>
    <xdr:to>
      <xdr:col>0</xdr:col>
      <xdr:colOff>832773</xdr:colOff>
      <xdr:row>1327</xdr:row>
      <xdr:rowOff>0</xdr:rowOff>
    </xdr:to>
    <xdr:pic>
      <xdr:nvPicPr>
        <xdr:cNvPr id="1415" name="Рисунок 1414">
          <a:extLst>
            <a:ext uri="{FF2B5EF4-FFF2-40B4-BE49-F238E27FC236}">
              <a16:creationId xmlns:a16="http://schemas.microsoft.com/office/drawing/2014/main" xmlns="" id="{00000000-0008-0000-00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1" y="675960675"/>
          <a:ext cx="810792" cy="0"/>
        </a:xfrm>
        <a:prstGeom prst="rect">
          <a:avLst/>
        </a:prstGeom>
      </xdr:spPr>
    </xdr:pic>
    <xdr:clientData/>
  </xdr:twoCellAnchor>
  <xdr:twoCellAnchor>
    <xdr:from>
      <xdr:col>0</xdr:col>
      <xdr:colOff>838200</xdr:colOff>
      <xdr:row>1322</xdr:row>
      <xdr:rowOff>1681</xdr:rowOff>
    </xdr:from>
    <xdr:to>
      <xdr:col>0</xdr:col>
      <xdr:colOff>1322855</xdr:colOff>
      <xdr:row>1322</xdr:row>
      <xdr:rowOff>498661</xdr:rowOff>
    </xdr:to>
    <xdr:pic>
      <xdr:nvPicPr>
        <xdr:cNvPr id="1417" name="Рисунок 1416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579491475"/>
          <a:ext cx="484655" cy="49698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1323</xdr:row>
      <xdr:rowOff>0</xdr:rowOff>
    </xdr:from>
    <xdr:to>
      <xdr:col>0</xdr:col>
      <xdr:colOff>1341905</xdr:colOff>
      <xdr:row>1324</xdr:row>
      <xdr:rowOff>0</xdr:rowOff>
    </xdr:to>
    <xdr:pic>
      <xdr:nvPicPr>
        <xdr:cNvPr id="1418" name="Рисунок 1417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52" t="14953" r="18213" b="11194"/>
        <a:stretch/>
      </xdr:blipFill>
      <xdr:spPr>
        <a:xfrm>
          <a:off x="818030" y="579994059"/>
          <a:ext cx="523875" cy="504265"/>
        </a:xfrm>
        <a:prstGeom prst="rect">
          <a:avLst/>
        </a:prstGeom>
      </xdr:spPr>
    </xdr:pic>
    <xdr:clientData/>
  </xdr:twoCellAnchor>
  <xdr:twoCellAnchor>
    <xdr:from>
      <xdr:col>0</xdr:col>
      <xdr:colOff>837080</xdr:colOff>
      <xdr:row>1325</xdr:row>
      <xdr:rowOff>9525</xdr:rowOff>
    </xdr:from>
    <xdr:to>
      <xdr:col>0</xdr:col>
      <xdr:colOff>1284755</xdr:colOff>
      <xdr:row>1325</xdr:row>
      <xdr:rowOff>457200</xdr:rowOff>
    </xdr:to>
    <xdr:pic>
      <xdr:nvPicPr>
        <xdr:cNvPr id="1419" name="Рисунок 1418"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49" t="15364" r="20166" b="20709"/>
        <a:stretch/>
      </xdr:blipFill>
      <xdr:spPr>
        <a:xfrm>
          <a:off x="837080" y="581012113"/>
          <a:ext cx="447675" cy="447675"/>
        </a:xfrm>
        <a:prstGeom prst="rect">
          <a:avLst/>
        </a:prstGeom>
      </xdr:spPr>
    </xdr:pic>
    <xdr:clientData/>
  </xdr:twoCellAnchor>
  <xdr:twoCellAnchor>
    <xdr:from>
      <xdr:col>0</xdr:col>
      <xdr:colOff>777130</xdr:colOff>
      <xdr:row>1324</xdr:row>
      <xdr:rowOff>55177</xdr:rowOff>
    </xdr:from>
    <xdr:to>
      <xdr:col>0</xdr:col>
      <xdr:colOff>1405780</xdr:colOff>
      <xdr:row>1324</xdr:row>
      <xdr:rowOff>498661</xdr:rowOff>
    </xdr:to>
    <xdr:pic>
      <xdr:nvPicPr>
        <xdr:cNvPr id="1420" name="Рисунок 1419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4" t="20577" r="16749" b="26197"/>
        <a:stretch/>
      </xdr:blipFill>
      <xdr:spPr>
        <a:xfrm>
          <a:off x="777130" y="21828206"/>
          <a:ext cx="628650" cy="443484"/>
        </a:xfrm>
        <a:prstGeom prst="rect">
          <a:avLst/>
        </a:prstGeom>
      </xdr:spPr>
    </xdr:pic>
    <xdr:clientData/>
  </xdr:twoCellAnchor>
  <xdr:twoCellAnchor>
    <xdr:from>
      <xdr:col>0</xdr:col>
      <xdr:colOff>646580</xdr:colOff>
      <xdr:row>1327</xdr:row>
      <xdr:rowOff>47625</xdr:rowOff>
    </xdr:from>
    <xdr:to>
      <xdr:col>0</xdr:col>
      <xdr:colOff>1437155</xdr:colOff>
      <xdr:row>1327</xdr:row>
      <xdr:rowOff>492323</xdr:rowOff>
    </xdr:to>
    <xdr:pic>
      <xdr:nvPicPr>
        <xdr:cNvPr id="1421" name="Рисунок 1420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580" y="582058743"/>
          <a:ext cx="790575" cy="444698"/>
        </a:xfrm>
        <a:prstGeom prst="rect">
          <a:avLst/>
        </a:prstGeom>
      </xdr:spPr>
    </xdr:pic>
    <xdr:clientData/>
  </xdr:twoCellAnchor>
  <xdr:twoCellAnchor>
    <xdr:from>
      <xdr:col>0</xdr:col>
      <xdr:colOff>895225</xdr:colOff>
      <xdr:row>1328</xdr:row>
      <xdr:rowOff>21788</xdr:rowOff>
    </xdr:from>
    <xdr:to>
      <xdr:col>0</xdr:col>
      <xdr:colOff>1384485</xdr:colOff>
      <xdr:row>1328</xdr:row>
      <xdr:rowOff>494318</xdr:rowOff>
    </xdr:to>
    <xdr:pic>
      <xdr:nvPicPr>
        <xdr:cNvPr id="1422" name="Рисунок 1421">
          <a:extLst>
            <a:ext uri="{FF2B5EF4-FFF2-40B4-BE49-F238E27FC236}">
              <a16:creationId xmlns:a16="http://schemas.microsoft.com/office/drawing/2014/main" xmlns="" id="{00000000-0008-0000-0000-00008E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59" r="20519"/>
        <a:stretch/>
      </xdr:blipFill>
      <xdr:spPr>
        <a:xfrm>
          <a:off x="895225" y="582537170"/>
          <a:ext cx="489260" cy="472530"/>
        </a:xfrm>
        <a:prstGeom prst="rect">
          <a:avLst/>
        </a:prstGeom>
      </xdr:spPr>
    </xdr:pic>
    <xdr:clientData/>
  </xdr:twoCellAnchor>
  <xdr:twoCellAnchor>
    <xdr:from>
      <xdr:col>0</xdr:col>
      <xdr:colOff>627531</xdr:colOff>
      <xdr:row>1329</xdr:row>
      <xdr:rowOff>10584</xdr:rowOff>
    </xdr:from>
    <xdr:to>
      <xdr:col>0</xdr:col>
      <xdr:colOff>1591237</xdr:colOff>
      <xdr:row>1330</xdr:row>
      <xdr:rowOff>14</xdr:rowOff>
    </xdr:to>
    <xdr:pic>
      <xdr:nvPicPr>
        <xdr:cNvPr id="1423" name="Рисунок 1422"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1" y="583030231"/>
          <a:ext cx="963706" cy="493695"/>
        </a:xfrm>
        <a:prstGeom prst="rect">
          <a:avLst/>
        </a:prstGeom>
      </xdr:spPr>
    </xdr:pic>
    <xdr:clientData/>
  </xdr:twoCellAnchor>
  <xdr:twoCellAnchor>
    <xdr:from>
      <xdr:col>0</xdr:col>
      <xdr:colOff>882463</xdr:colOff>
      <xdr:row>1336</xdr:row>
      <xdr:rowOff>9525</xdr:rowOff>
    </xdr:from>
    <xdr:to>
      <xdr:col>0</xdr:col>
      <xdr:colOff>1422463</xdr:colOff>
      <xdr:row>1336</xdr:row>
      <xdr:rowOff>501900</xdr:rowOff>
    </xdr:to>
    <xdr:pic>
      <xdr:nvPicPr>
        <xdr:cNvPr id="1424" name="Рисунок 1423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463" y="586559025"/>
          <a:ext cx="540000" cy="492375"/>
        </a:xfrm>
        <a:prstGeom prst="rect">
          <a:avLst/>
        </a:prstGeom>
      </xdr:spPr>
    </xdr:pic>
    <xdr:clientData/>
  </xdr:twoCellAnchor>
  <xdr:twoCellAnchor>
    <xdr:from>
      <xdr:col>0</xdr:col>
      <xdr:colOff>891988</xdr:colOff>
      <xdr:row>1338</xdr:row>
      <xdr:rowOff>19050</xdr:rowOff>
    </xdr:from>
    <xdr:to>
      <xdr:col>0</xdr:col>
      <xdr:colOff>1431988</xdr:colOff>
      <xdr:row>1338</xdr:row>
      <xdr:rowOff>501900</xdr:rowOff>
    </xdr:to>
    <xdr:pic>
      <xdr:nvPicPr>
        <xdr:cNvPr id="1425" name="Рисунок 1424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988" y="587577079"/>
          <a:ext cx="540000" cy="482850"/>
        </a:xfrm>
        <a:prstGeom prst="rect">
          <a:avLst/>
        </a:prstGeom>
      </xdr:spPr>
    </xdr:pic>
    <xdr:clientData/>
  </xdr:twoCellAnchor>
  <xdr:twoCellAnchor>
    <xdr:from>
      <xdr:col>0</xdr:col>
      <xdr:colOff>876301</xdr:colOff>
      <xdr:row>1340</xdr:row>
      <xdr:rowOff>38485</xdr:rowOff>
    </xdr:from>
    <xdr:to>
      <xdr:col>0</xdr:col>
      <xdr:colOff>1416301</xdr:colOff>
      <xdr:row>1341</xdr:row>
      <xdr:rowOff>26595</xdr:rowOff>
    </xdr:to>
    <xdr:pic>
      <xdr:nvPicPr>
        <xdr:cNvPr id="1426" name="Рисунок 1425">
          <a:extLst>
            <a:ext uri="{FF2B5EF4-FFF2-40B4-BE49-F238E27FC236}">
              <a16:creationId xmlns:a16="http://schemas.microsoft.com/office/drawing/2014/main" xmlns="" id="{00000000-0008-0000-00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588605044"/>
          <a:ext cx="540000" cy="492375"/>
        </a:xfrm>
        <a:prstGeom prst="rect">
          <a:avLst/>
        </a:prstGeom>
      </xdr:spPr>
    </xdr:pic>
    <xdr:clientData/>
  </xdr:twoCellAnchor>
  <xdr:twoCellAnchor>
    <xdr:from>
      <xdr:col>0</xdr:col>
      <xdr:colOff>857250</xdr:colOff>
      <xdr:row>1341</xdr:row>
      <xdr:rowOff>50986</xdr:rowOff>
    </xdr:from>
    <xdr:to>
      <xdr:col>0</xdr:col>
      <xdr:colOff>1397250</xdr:colOff>
      <xdr:row>1342</xdr:row>
      <xdr:rowOff>20047</xdr:rowOff>
    </xdr:to>
    <xdr:pic>
      <xdr:nvPicPr>
        <xdr:cNvPr id="1427" name="Рисунок 1426">
          <a:extLst>
            <a:ext uri="{FF2B5EF4-FFF2-40B4-BE49-F238E27FC236}">
              <a16:creationId xmlns:a16="http://schemas.microsoft.com/office/drawing/2014/main" xmlns="" id="{00000000-0008-0000-00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89121810"/>
          <a:ext cx="540000" cy="473325"/>
        </a:xfrm>
        <a:prstGeom prst="rect">
          <a:avLst/>
        </a:prstGeom>
      </xdr:spPr>
    </xdr:pic>
    <xdr:clientData/>
  </xdr:twoCellAnchor>
  <xdr:twoCellAnchor>
    <xdr:from>
      <xdr:col>0</xdr:col>
      <xdr:colOff>876300</xdr:colOff>
      <xdr:row>1342</xdr:row>
      <xdr:rowOff>41461</xdr:rowOff>
    </xdr:from>
    <xdr:to>
      <xdr:col>0</xdr:col>
      <xdr:colOff>1417391</xdr:colOff>
      <xdr:row>1343</xdr:row>
      <xdr:rowOff>20046</xdr:rowOff>
    </xdr:to>
    <xdr:pic>
      <xdr:nvPicPr>
        <xdr:cNvPr id="1428" name="Рисунок 1427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589616549"/>
          <a:ext cx="541091" cy="482850"/>
        </a:xfrm>
        <a:prstGeom prst="rect">
          <a:avLst/>
        </a:prstGeom>
      </xdr:spPr>
    </xdr:pic>
    <xdr:clientData/>
  </xdr:twoCellAnchor>
  <xdr:twoCellAnchor>
    <xdr:from>
      <xdr:col>0</xdr:col>
      <xdr:colOff>821530</xdr:colOff>
      <xdr:row>1332</xdr:row>
      <xdr:rowOff>23812</xdr:rowOff>
    </xdr:from>
    <xdr:to>
      <xdr:col>0</xdr:col>
      <xdr:colOff>1583069</xdr:colOff>
      <xdr:row>1333</xdr:row>
      <xdr:rowOff>2398</xdr:rowOff>
    </xdr:to>
    <xdr:pic>
      <xdr:nvPicPr>
        <xdr:cNvPr id="1430" name="Рисунок 1429">
          <a:extLst>
            <a:ext uri="{FF2B5EF4-FFF2-40B4-BE49-F238E27FC236}">
              <a16:creationId xmlns:a16="http://schemas.microsoft.com/office/drawing/2014/main" xmlns="" id="{00000000-0008-0000-00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530" y="584556253"/>
          <a:ext cx="761539" cy="482851"/>
        </a:xfrm>
        <a:prstGeom prst="rect">
          <a:avLst/>
        </a:prstGeom>
      </xdr:spPr>
    </xdr:pic>
    <xdr:clientData/>
  </xdr:twoCellAnchor>
  <xdr:twoCellAnchor>
    <xdr:from>
      <xdr:col>0</xdr:col>
      <xdr:colOff>793165</xdr:colOff>
      <xdr:row>1333</xdr:row>
      <xdr:rowOff>17859</xdr:rowOff>
    </xdr:from>
    <xdr:to>
      <xdr:col>0</xdr:col>
      <xdr:colOff>1554704</xdr:colOff>
      <xdr:row>1333</xdr:row>
      <xdr:rowOff>500709</xdr:rowOff>
    </xdr:to>
    <xdr:pic>
      <xdr:nvPicPr>
        <xdr:cNvPr id="1431" name="Рисунок 1430">
          <a:extLst>
            <a:ext uri="{FF2B5EF4-FFF2-40B4-BE49-F238E27FC236}">
              <a16:creationId xmlns:a16="http://schemas.microsoft.com/office/drawing/2014/main" xmlns="" id="{00000000-0008-0000-00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165" y="585054565"/>
          <a:ext cx="761539" cy="482850"/>
        </a:xfrm>
        <a:prstGeom prst="rect">
          <a:avLst/>
        </a:prstGeom>
      </xdr:spPr>
    </xdr:pic>
    <xdr:clientData/>
  </xdr:twoCellAnchor>
  <xdr:twoCellAnchor>
    <xdr:from>
      <xdr:col>0</xdr:col>
      <xdr:colOff>784830</xdr:colOff>
      <xdr:row>1334</xdr:row>
      <xdr:rowOff>15479</xdr:rowOff>
    </xdr:from>
    <xdr:to>
      <xdr:col>0</xdr:col>
      <xdr:colOff>1546369</xdr:colOff>
      <xdr:row>1335</xdr:row>
      <xdr:rowOff>3590</xdr:rowOff>
    </xdr:to>
    <xdr:pic>
      <xdr:nvPicPr>
        <xdr:cNvPr id="1432" name="Рисунок 1431">
          <a:extLst>
            <a:ext uri="{FF2B5EF4-FFF2-40B4-BE49-F238E27FC236}">
              <a16:creationId xmlns:a16="http://schemas.microsoft.com/office/drawing/2014/main" xmlns="" id="{00000000-0008-0000-00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30" y="585556450"/>
          <a:ext cx="761539" cy="492375"/>
        </a:xfrm>
        <a:prstGeom prst="rect">
          <a:avLst/>
        </a:prstGeom>
      </xdr:spPr>
    </xdr:pic>
    <xdr:clientData/>
  </xdr:twoCellAnchor>
  <xdr:twoCellAnchor>
    <xdr:from>
      <xdr:col>0</xdr:col>
      <xdr:colOff>769353</xdr:colOff>
      <xdr:row>1335</xdr:row>
      <xdr:rowOff>11906</xdr:rowOff>
    </xdr:from>
    <xdr:to>
      <xdr:col>0</xdr:col>
      <xdr:colOff>1530892</xdr:colOff>
      <xdr:row>1336</xdr:row>
      <xdr:rowOff>16</xdr:rowOff>
    </xdr:to>
    <xdr:pic>
      <xdr:nvPicPr>
        <xdr:cNvPr id="1433" name="Рисунок 1432">
          <a:extLst>
            <a:ext uri="{FF2B5EF4-FFF2-40B4-BE49-F238E27FC236}">
              <a16:creationId xmlns:a16="http://schemas.microsoft.com/office/drawing/2014/main" xmlns="" id="{00000000-0008-0000-00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353" y="586057141"/>
          <a:ext cx="761539" cy="492375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1344</xdr:row>
      <xdr:rowOff>0</xdr:rowOff>
    </xdr:from>
    <xdr:to>
      <xdr:col>0</xdr:col>
      <xdr:colOff>636342</xdr:colOff>
      <xdr:row>1344</xdr:row>
      <xdr:rowOff>0</xdr:rowOff>
    </xdr:to>
    <xdr:pic>
      <xdr:nvPicPr>
        <xdr:cNvPr id="1434" name="Рисунок 1433">
          <a:extLst>
            <a:ext uri="{FF2B5EF4-FFF2-40B4-BE49-F238E27FC236}">
              <a16:creationId xmlns:a16="http://schemas.microsoft.com/office/drawing/2014/main" xmlns="" id="{00000000-0008-0000-00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684564681"/>
          <a:ext cx="541091" cy="482850"/>
        </a:xfrm>
        <a:prstGeom prst="rect">
          <a:avLst/>
        </a:prstGeom>
      </xdr:spPr>
    </xdr:pic>
    <xdr:clientData/>
  </xdr:twoCellAnchor>
  <xdr:twoCellAnchor>
    <xdr:from>
      <xdr:col>0</xdr:col>
      <xdr:colOff>890246</xdr:colOff>
      <xdr:row>1365</xdr:row>
      <xdr:rowOff>488484</xdr:rowOff>
    </xdr:from>
    <xdr:to>
      <xdr:col>0</xdr:col>
      <xdr:colOff>1556995</xdr:colOff>
      <xdr:row>1366</xdr:row>
      <xdr:rowOff>481853</xdr:rowOff>
    </xdr:to>
    <xdr:pic>
      <xdr:nvPicPr>
        <xdr:cNvPr id="1435" name="Рисунок 1434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14" b="29233"/>
        <a:stretch/>
      </xdr:blipFill>
      <xdr:spPr>
        <a:xfrm>
          <a:off x="890246" y="601661660"/>
          <a:ext cx="666749" cy="497634"/>
        </a:xfrm>
        <a:prstGeom prst="rect">
          <a:avLst/>
        </a:prstGeom>
      </xdr:spPr>
    </xdr:pic>
    <xdr:clientData/>
  </xdr:twoCellAnchor>
  <xdr:twoCellAnchor>
    <xdr:from>
      <xdr:col>0</xdr:col>
      <xdr:colOff>974912</xdr:colOff>
      <xdr:row>1365</xdr:row>
      <xdr:rowOff>604</xdr:rowOff>
    </xdr:from>
    <xdr:to>
      <xdr:col>0</xdr:col>
      <xdr:colOff>1504079</xdr:colOff>
      <xdr:row>1365</xdr:row>
      <xdr:rowOff>481353</xdr:rowOff>
    </xdr:to>
    <xdr:pic>
      <xdr:nvPicPr>
        <xdr:cNvPr id="1436" name="Рисунок 1435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24" t="15562" r="8583" b="26693"/>
        <a:stretch/>
      </xdr:blipFill>
      <xdr:spPr>
        <a:xfrm>
          <a:off x="974912" y="601173780"/>
          <a:ext cx="529167" cy="480749"/>
        </a:xfrm>
        <a:prstGeom prst="rect">
          <a:avLst/>
        </a:prstGeom>
      </xdr:spPr>
    </xdr:pic>
    <xdr:clientData/>
  </xdr:twoCellAnchor>
  <xdr:twoCellAnchor>
    <xdr:from>
      <xdr:col>0</xdr:col>
      <xdr:colOff>847912</xdr:colOff>
      <xdr:row>1366</xdr:row>
      <xdr:rowOff>492437</xdr:rowOff>
    </xdr:from>
    <xdr:to>
      <xdr:col>0</xdr:col>
      <xdr:colOff>1567912</xdr:colOff>
      <xdr:row>1367</xdr:row>
      <xdr:rowOff>480547</xdr:rowOff>
    </xdr:to>
    <xdr:pic>
      <xdr:nvPicPr>
        <xdr:cNvPr id="1438" name="Рисунок 1437">
          <a:extLst>
            <a:ext uri="{FF2B5EF4-FFF2-40B4-BE49-F238E27FC236}">
              <a16:creationId xmlns:a16="http://schemas.microsoft.com/office/drawing/2014/main" xmlns="" id="{00000000-0008-0000-00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912" y="602169878"/>
          <a:ext cx="720000" cy="492375"/>
        </a:xfrm>
        <a:prstGeom prst="rect">
          <a:avLst/>
        </a:prstGeom>
      </xdr:spPr>
    </xdr:pic>
    <xdr:clientData/>
  </xdr:twoCellAnchor>
  <xdr:twoCellAnchor>
    <xdr:from>
      <xdr:col>0</xdr:col>
      <xdr:colOff>837328</xdr:colOff>
      <xdr:row>1368</xdr:row>
      <xdr:rowOff>9338</xdr:rowOff>
    </xdr:from>
    <xdr:to>
      <xdr:col>0</xdr:col>
      <xdr:colOff>1557328</xdr:colOff>
      <xdr:row>1368</xdr:row>
      <xdr:rowOff>482102</xdr:rowOff>
    </xdr:to>
    <xdr:pic>
      <xdr:nvPicPr>
        <xdr:cNvPr id="1439" name="Рисунок 1438">
          <a:extLst>
            <a:ext uri="{FF2B5EF4-FFF2-40B4-BE49-F238E27FC236}">
              <a16:creationId xmlns:a16="http://schemas.microsoft.com/office/drawing/2014/main" xmlns="" id="{00000000-0008-0000-00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328" y="602695309"/>
          <a:ext cx="720000" cy="472764"/>
        </a:xfrm>
        <a:prstGeom prst="rect">
          <a:avLst/>
        </a:prstGeom>
      </xdr:spPr>
    </xdr:pic>
    <xdr:clientData/>
  </xdr:twoCellAnchor>
  <xdr:twoCellAnchor>
    <xdr:from>
      <xdr:col>0</xdr:col>
      <xdr:colOff>860612</xdr:colOff>
      <xdr:row>1369</xdr:row>
      <xdr:rowOff>18070</xdr:rowOff>
    </xdr:from>
    <xdr:to>
      <xdr:col>0</xdr:col>
      <xdr:colOff>1555937</xdr:colOff>
      <xdr:row>1369</xdr:row>
      <xdr:rowOff>482414</xdr:rowOff>
    </xdr:to>
    <xdr:pic>
      <xdr:nvPicPr>
        <xdr:cNvPr id="1444" name="Рисунок 1443"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612" y="603208305"/>
          <a:ext cx="695325" cy="464344"/>
        </a:xfrm>
        <a:prstGeom prst="rect">
          <a:avLst/>
        </a:prstGeom>
      </xdr:spPr>
    </xdr:pic>
    <xdr:clientData/>
  </xdr:twoCellAnchor>
  <xdr:twoCellAnchor>
    <xdr:from>
      <xdr:col>0</xdr:col>
      <xdr:colOff>614724</xdr:colOff>
      <xdr:row>1369</xdr:row>
      <xdr:rowOff>500742</xdr:rowOff>
    </xdr:from>
    <xdr:to>
      <xdr:col>0</xdr:col>
      <xdr:colOff>1669678</xdr:colOff>
      <xdr:row>1371</xdr:row>
      <xdr:rowOff>17009</xdr:rowOff>
    </xdr:to>
    <xdr:pic>
      <xdr:nvPicPr>
        <xdr:cNvPr id="1446" name="Рисунок 1445">
          <a:extLst>
            <a:ext uri="{FF2B5EF4-FFF2-40B4-BE49-F238E27FC236}">
              <a16:creationId xmlns:a16="http://schemas.microsoft.com/office/drawing/2014/main" xmlns="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724" y="603690977"/>
          <a:ext cx="1054954" cy="524797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1345</xdr:row>
      <xdr:rowOff>0</xdr:rowOff>
    </xdr:from>
    <xdr:to>
      <xdr:col>0</xdr:col>
      <xdr:colOff>1594060</xdr:colOff>
      <xdr:row>1345</xdr:row>
      <xdr:rowOff>482850</xdr:rowOff>
    </xdr:to>
    <xdr:pic>
      <xdr:nvPicPr>
        <xdr:cNvPr id="1447" name="Рисунок 1446">
          <a:extLst>
            <a:ext uri="{FF2B5EF4-FFF2-40B4-BE49-F238E27FC236}">
              <a16:creationId xmlns:a16="http://schemas.microsoft.com/office/drawing/2014/main" xmlns="" id="{00000000-0008-0000-00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91087882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1346</xdr:row>
      <xdr:rowOff>0</xdr:rowOff>
    </xdr:from>
    <xdr:to>
      <xdr:col>0</xdr:col>
      <xdr:colOff>1594060</xdr:colOff>
      <xdr:row>1346</xdr:row>
      <xdr:rowOff>482850</xdr:rowOff>
    </xdr:to>
    <xdr:pic>
      <xdr:nvPicPr>
        <xdr:cNvPr id="1448" name="Рисунок 1447">
          <a:extLst>
            <a:ext uri="{FF2B5EF4-FFF2-40B4-BE49-F238E27FC236}">
              <a16:creationId xmlns:a16="http://schemas.microsoft.com/office/drawing/2014/main" xmlns="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91592147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1347</xdr:row>
      <xdr:rowOff>0</xdr:rowOff>
    </xdr:from>
    <xdr:to>
      <xdr:col>0</xdr:col>
      <xdr:colOff>1594060</xdr:colOff>
      <xdr:row>1347</xdr:row>
      <xdr:rowOff>482850</xdr:rowOff>
    </xdr:to>
    <xdr:pic>
      <xdr:nvPicPr>
        <xdr:cNvPr id="1449" name="Рисунок 1448">
          <a:extLst>
            <a:ext uri="{FF2B5EF4-FFF2-40B4-BE49-F238E27FC236}">
              <a16:creationId xmlns:a16="http://schemas.microsoft.com/office/drawing/2014/main" xmlns="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92096412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874060</xdr:colOff>
      <xdr:row>1348</xdr:row>
      <xdr:rowOff>0</xdr:rowOff>
    </xdr:from>
    <xdr:to>
      <xdr:col>0</xdr:col>
      <xdr:colOff>1594060</xdr:colOff>
      <xdr:row>1348</xdr:row>
      <xdr:rowOff>482850</xdr:rowOff>
    </xdr:to>
    <xdr:pic>
      <xdr:nvPicPr>
        <xdr:cNvPr id="1450" name="Рисунок 1449">
          <a:extLst>
            <a:ext uri="{FF2B5EF4-FFF2-40B4-BE49-F238E27FC236}">
              <a16:creationId xmlns:a16="http://schemas.microsoft.com/office/drawing/2014/main" xmlns="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60" y="592600676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1348</xdr:row>
      <xdr:rowOff>481853</xdr:rowOff>
    </xdr:from>
    <xdr:to>
      <xdr:col>0</xdr:col>
      <xdr:colOff>1504412</xdr:colOff>
      <xdr:row>1349</xdr:row>
      <xdr:rowOff>479488</xdr:rowOff>
    </xdr:to>
    <xdr:pic>
      <xdr:nvPicPr>
        <xdr:cNvPr id="1451" name="Рисунок 1450">
          <a:extLst>
            <a:ext uri="{FF2B5EF4-FFF2-40B4-BE49-F238E27FC236}">
              <a16:creationId xmlns:a16="http://schemas.microsoft.com/office/drawing/2014/main" xmlns="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308252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1349</xdr:row>
      <xdr:rowOff>481853</xdr:rowOff>
    </xdr:from>
    <xdr:to>
      <xdr:col>0</xdr:col>
      <xdr:colOff>1504412</xdr:colOff>
      <xdr:row>1350</xdr:row>
      <xdr:rowOff>479488</xdr:rowOff>
    </xdr:to>
    <xdr:pic>
      <xdr:nvPicPr>
        <xdr:cNvPr id="1452" name="Рисунок 1451">
          <a:extLst>
            <a:ext uri="{FF2B5EF4-FFF2-40B4-BE49-F238E27FC236}">
              <a16:creationId xmlns:a16="http://schemas.microsoft.com/office/drawing/2014/main" xmlns="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3586794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1350</xdr:row>
      <xdr:rowOff>481853</xdr:rowOff>
    </xdr:from>
    <xdr:to>
      <xdr:col>0</xdr:col>
      <xdr:colOff>1504412</xdr:colOff>
      <xdr:row>1351</xdr:row>
      <xdr:rowOff>479488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xmlns="" id="{00000000-0008-0000-00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4091059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1351</xdr:row>
      <xdr:rowOff>481852</xdr:rowOff>
    </xdr:from>
    <xdr:to>
      <xdr:col>0</xdr:col>
      <xdr:colOff>1504412</xdr:colOff>
      <xdr:row>1352</xdr:row>
      <xdr:rowOff>479488</xdr:rowOff>
    </xdr:to>
    <xdr:pic>
      <xdr:nvPicPr>
        <xdr:cNvPr id="1454" name="Рисунок 1453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459532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1352</xdr:row>
      <xdr:rowOff>481853</xdr:rowOff>
    </xdr:from>
    <xdr:to>
      <xdr:col>0</xdr:col>
      <xdr:colOff>1504412</xdr:colOff>
      <xdr:row>1353</xdr:row>
      <xdr:rowOff>479488</xdr:rowOff>
    </xdr:to>
    <xdr:pic>
      <xdr:nvPicPr>
        <xdr:cNvPr id="1455" name="Рисунок 1454">
          <a:extLst>
            <a:ext uri="{FF2B5EF4-FFF2-40B4-BE49-F238E27FC236}">
              <a16:creationId xmlns:a16="http://schemas.microsoft.com/office/drawing/2014/main" xmlns="" id="{00000000-0008-0000-00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5099588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1353</xdr:row>
      <xdr:rowOff>481853</xdr:rowOff>
    </xdr:from>
    <xdr:to>
      <xdr:col>0</xdr:col>
      <xdr:colOff>1504412</xdr:colOff>
      <xdr:row>1354</xdr:row>
      <xdr:rowOff>479488</xdr:rowOff>
    </xdr:to>
    <xdr:pic>
      <xdr:nvPicPr>
        <xdr:cNvPr id="1456" name="Рисунок 1455">
          <a:extLst>
            <a:ext uri="{FF2B5EF4-FFF2-40B4-BE49-F238E27FC236}">
              <a16:creationId xmlns:a16="http://schemas.microsoft.com/office/drawing/2014/main" xmlns="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5603853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1355</xdr:row>
      <xdr:rowOff>481853</xdr:rowOff>
    </xdr:from>
    <xdr:to>
      <xdr:col>0</xdr:col>
      <xdr:colOff>1504412</xdr:colOff>
      <xdr:row>1356</xdr:row>
      <xdr:rowOff>479488</xdr:rowOff>
    </xdr:to>
    <xdr:pic>
      <xdr:nvPicPr>
        <xdr:cNvPr id="1457" name="Рисунок 1456">
          <a:extLst>
            <a:ext uri="{FF2B5EF4-FFF2-40B4-BE49-F238E27FC236}">
              <a16:creationId xmlns:a16="http://schemas.microsoft.com/office/drawing/2014/main" xmlns="" id="{00000000-0008-0000-00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661238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1354</xdr:row>
      <xdr:rowOff>481852</xdr:rowOff>
    </xdr:from>
    <xdr:to>
      <xdr:col>0</xdr:col>
      <xdr:colOff>1504412</xdr:colOff>
      <xdr:row>1355</xdr:row>
      <xdr:rowOff>479488</xdr:rowOff>
    </xdr:to>
    <xdr:pic>
      <xdr:nvPicPr>
        <xdr:cNvPr id="1458" name="Рисунок 1457">
          <a:extLst>
            <a:ext uri="{FF2B5EF4-FFF2-40B4-BE49-F238E27FC236}">
              <a16:creationId xmlns:a16="http://schemas.microsoft.com/office/drawing/2014/main" xmlns="" id="{00000000-0008-0000-00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6108117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1356</xdr:row>
      <xdr:rowOff>481853</xdr:rowOff>
    </xdr:from>
    <xdr:to>
      <xdr:col>0</xdr:col>
      <xdr:colOff>1504412</xdr:colOff>
      <xdr:row>1357</xdr:row>
      <xdr:rowOff>479488</xdr:rowOff>
    </xdr:to>
    <xdr:pic>
      <xdr:nvPicPr>
        <xdr:cNvPr id="1459" name="Рисунок 1458">
          <a:extLst>
            <a:ext uri="{FF2B5EF4-FFF2-40B4-BE49-F238E27FC236}">
              <a16:creationId xmlns:a16="http://schemas.microsoft.com/office/drawing/2014/main" xmlns="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7116647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1357</xdr:row>
      <xdr:rowOff>481853</xdr:rowOff>
    </xdr:from>
    <xdr:to>
      <xdr:col>0</xdr:col>
      <xdr:colOff>1504412</xdr:colOff>
      <xdr:row>1358</xdr:row>
      <xdr:rowOff>479488</xdr:rowOff>
    </xdr:to>
    <xdr:pic>
      <xdr:nvPicPr>
        <xdr:cNvPr id="1460" name="Рисунок 1459">
          <a:extLst>
            <a:ext uri="{FF2B5EF4-FFF2-40B4-BE49-F238E27FC236}">
              <a16:creationId xmlns:a16="http://schemas.microsoft.com/office/drawing/2014/main" xmlns="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7620912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1358</xdr:row>
      <xdr:rowOff>481852</xdr:rowOff>
    </xdr:from>
    <xdr:to>
      <xdr:col>0</xdr:col>
      <xdr:colOff>1504412</xdr:colOff>
      <xdr:row>1359</xdr:row>
      <xdr:rowOff>479488</xdr:rowOff>
    </xdr:to>
    <xdr:pic>
      <xdr:nvPicPr>
        <xdr:cNvPr id="1461" name="Рисунок 1460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812517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1359</xdr:row>
      <xdr:rowOff>481853</xdr:rowOff>
    </xdr:from>
    <xdr:to>
      <xdr:col>0</xdr:col>
      <xdr:colOff>1504412</xdr:colOff>
      <xdr:row>1360</xdr:row>
      <xdr:rowOff>479488</xdr:rowOff>
    </xdr:to>
    <xdr:pic>
      <xdr:nvPicPr>
        <xdr:cNvPr id="1462" name="Рисунок 1461"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8629441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1360</xdr:row>
      <xdr:rowOff>481853</xdr:rowOff>
    </xdr:from>
    <xdr:to>
      <xdr:col>0</xdr:col>
      <xdr:colOff>1504412</xdr:colOff>
      <xdr:row>1361</xdr:row>
      <xdr:rowOff>479488</xdr:rowOff>
    </xdr:to>
    <xdr:pic>
      <xdr:nvPicPr>
        <xdr:cNvPr id="1463" name="Рисунок 1462">
          <a:extLst>
            <a:ext uri="{FF2B5EF4-FFF2-40B4-BE49-F238E27FC236}">
              <a16:creationId xmlns:a16="http://schemas.microsoft.com/office/drawing/2014/main" xmlns="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9133706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1361</xdr:row>
      <xdr:rowOff>481852</xdr:rowOff>
    </xdr:from>
    <xdr:to>
      <xdr:col>0</xdr:col>
      <xdr:colOff>1504412</xdr:colOff>
      <xdr:row>1362</xdr:row>
      <xdr:rowOff>479488</xdr:rowOff>
    </xdr:to>
    <xdr:pic>
      <xdr:nvPicPr>
        <xdr:cNvPr id="1464" name="Рисунок 1463">
          <a:extLst>
            <a:ext uri="{FF2B5EF4-FFF2-40B4-BE49-F238E27FC236}">
              <a16:creationId xmlns:a16="http://schemas.microsoft.com/office/drawing/2014/main" xmlns="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59963797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1363</xdr:row>
      <xdr:rowOff>481853</xdr:rowOff>
    </xdr:from>
    <xdr:to>
      <xdr:col>0</xdr:col>
      <xdr:colOff>1504412</xdr:colOff>
      <xdr:row>1364</xdr:row>
      <xdr:rowOff>479488</xdr:rowOff>
    </xdr:to>
    <xdr:pic>
      <xdr:nvPicPr>
        <xdr:cNvPr id="1465" name="Рисунок 1464">
          <a:extLst>
            <a:ext uri="{FF2B5EF4-FFF2-40B4-BE49-F238E27FC236}">
              <a16:creationId xmlns:a16="http://schemas.microsoft.com/office/drawing/2014/main" xmlns="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600646500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784412</xdr:colOff>
      <xdr:row>1362</xdr:row>
      <xdr:rowOff>481853</xdr:rowOff>
    </xdr:from>
    <xdr:to>
      <xdr:col>0</xdr:col>
      <xdr:colOff>1504412</xdr:colOff>
      <xdr:row>1363</xdr:row>
      <xdr:rowOff>479488</xdr:rowOff>
    </xdr:to>
    <xdr:pic>
      <xdr:nvPicPr>
        <xdr:cNvPr id="1466" name="Рисунок 1465"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2" y="600142235"/>
          <a:ext cx="720000" cy="501900"/>
        </a:xfrm>
        <a:prstGeom prst="rect">
          <a:avLst/>
        </a:prstGeom>
      </xdr:spPr>
    </xdr:pic>
    <xdr:clientData/>
  </xdr:twoCellAnchor>
  <xdr:twoCellAnchor>
    <xdr:from>
      <xdr:col>0</xdr:col>
      <xdr:colOff>729083</xdr:colOff>
      <xdr:row>1431</xdr:row>
      <xdr:rowOff>35018</xdr:rowOff>
    </xdr:from>
    <xdr:to>
      <xdr:col>0</xdr:col>
      <xdr:colOff>1544177</xdr:colOff>
      <xdr:row>1432</xdr:row>
      <xdr:rowOff>13603</xdr:rowOff>
    </xdr:to>
    <xdr:pic>
      <xdr:nvPicPr>
        <xdr:cNvPr id="1504" name="Рисунок 1503" descr="SVT-P-UL-100W DUO">
          <a:extLst>
            <a:ext uri="{FF2B5EF4-FFF2-40B4-BE49-F238E27FC236}">
              <a16:creationId xmlns:a16="http://schemas.microsoft.com/office/drawing/2014/main" xmlns="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29083" y="626925694"/>
          <a:ext cx="815094" cy="48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740989</xdr:colOff>
      <xdr:row>1432</xdr:row>
      <xdr:rowOff>23112</xdr:rowOff>
    </xdr:from>
    <xdr:to>
      <xdr:col>0</xdr:col>
      <xdr:colOff>1550989</xdr:colOff>
      <xdr:row>1433</xdr:row>
      <xdr:rowOff>11222</xdr:rowOff>
    </xdr:to>
    <xdr:pic>
      <xdr:nvPicPr>
        <xdr:cNvPr id="1505" name="Рисунок 1504" descr="SVT-P-UL-100W TRIO">
          <a:extLst>
            <a:ext uri="{FF2B5EF4-FFF2-40B4-BE49-F238E27FC236}">
              <a16:creationId xmlns:a16="http://schemas.microsoft.com/office/drawing/2014/main" xmlns="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40989" y="627418053"/>
          <a:ext cx="810000" cy="49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836241</xdr:colOff>
      <xdr:row>1433</xdr:row>
      <xdr:rowOff>58667</xdr:rowOff>
    </xdr:from>
    <xdr:to>
      <xdr:col>0</xdr:col>
      <xdr:colOff>1448241</xdr:colOff>
      <xdr:row>1434</xdr:row>
      <xdr:rowOff>11764</xdr:rowOff>
    </xdr:to>
    <xdr:pic>
      <xdr:nvPicPr>
        <xdr:cNvPr id="1507" name="Рисунок 1506" descr="SVT-P-UL-100W QUATTRO">
          <a:extLst>
            <a:ext uri="{FF2B5EF4-FFF2-40B4-BE49-F238E27FC236}">
              <a16:creationId xmlns:a16="http://schemas.microsoft.com/office/drawing/2014/main" xmlns="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6200000">
          <a:off x="913560" y="627880554"/>
          <a:ext cx="45736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801651</xdr:colOff>
      <xdr:row>1434</xdr:row>
      <xdr:rowOff>37065</xdr:rowOff>
    </xdr:from>
    <xdr:to>
      <xdr:col>0</xdr:col>
      <xdr:colOff>1509290</xdr:colOff>
      <xdr:row>1435</xdr:row>
      <xdr:rowOff>15651</xdr:rowOff>
    </xdr:to>
    <xdr:pic>
      <xdr:nvPicPr>
        <xdr:cNvPr id="1508" name="Рисунок 1507">
          <a:extLst>
            <a:ext uri="{FF2B5EF4-FFF2-40B4-BE49-F238E27FC236}">
              <a16:creationId xmlns:a16="http://schemas.microsoft.com/office/drawing/2014/main" xmlns="" id="{00000000-0008-0000-00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651" y="628440536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796307</xdr:colOff>
      <xdr:row>1437</xdr:row>
      <xdr:rowOff>24395</xdr:rowOff>
    </xdr:from>
    <xdr:to>
      <xdr:col>0</xdr:col>
      <xdr:colOff>1503946</xdr:colOff>
      <xdr:row>1438</xdr:row>
      <xdr:rowOff>12506</xdr:rowOff>
    </xdr:to>
    <xdr:pic>
      <xdr:nvPicPr>
        <xdr:cNvPr id="1509" name="Рисунок 1508">
          <a:extLst>
            <a:ext uri="{FF2B5EF4-FFF2-40B4-BE49-F238E27FC236}">
              <a16:creationId xmlns:a16="http://schemas.microsoft.com/office/drawing/2014/main" xmlns="" id="{00000000-0008-0000-00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307" y="629940660"/>
          <a:ext cx="707639" cy="492375"/>
        </a:xfrm>
        <a:prstGeom prst="rect">
          <a:avLst/>
        </a:prstGeom>
      </xdr:spPr>
    </xdr:pic>
    <xdr:clientData/>
  </xdr:twoCellAnchor>
  <xdr:twoCellAnchor>
    <xdr:from>
      <xdr:col>0</xdr:col>
      <xdr:colOff>812427</xdr:colOff>
      <xdr:row>1440</xdr:row>
      <xdr:rowOff>25859</xdr:rowOff>
    </xdr:from>
    <xdr:to>
      <xdr:col>0</xdr:col>
      <xdr:colOff>1520066</xdr:colOff>
      <xdr:row>1441</xdr:row>
      <xdr:rowOff>13969</xdr:rowOff>
    </xdr:to>
    <xdr:pic>
      <xdr:nvPicPr>
        <xdr:cNvPr id="1510" name="Рисунок 1509">
          <a:extLst>
            <a:ext uri="{FF2B5EF4-FFF2-40B4-BE49-F238E27FC236}">
              <a16:creationId xmlns:a16="http://schemas.microsoft.com/office/drawing/2014/main" xmlns="" id="{00000000-0008-0000-00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427" y="631454918"/>
          <a:ext cx="707639" cy="492375"/>
        </a:xfrm>
        <a:prstGeom prst="rect">
          <a:avLst/>
        </a:prstGeom>
      </xdr:spPr>
    </xdr:pic>
    <xdr:clientData/>
  </xdr:twoCellAnchor>
  <xdr:twoCellAnchor>
    <xdr:from>
      <xdr:col>0</xdr:col>
      <xdr:colOff>810962</xdr:colOff>
      <xdr:row>1443</xdr:row>
      <xdr:rowOff>24393</xdr:rowOff>
    </xdr:from>
    <xdr:to>
      <xdr:col>0</xdr:col>
      <xdr:colOff>1518601</xdr:colOff>
      <xdr:row>1444</xdr:row>
      <xdr:rowOff>12503</xdr:rowOff>
    </xdr:to>
    <xdr:pic>
      <xdr:nvPicPr>
        <xdr:cNvPr id="1511" name="Рисунок 1510">
          <a:extLst>
            <a:ext uri="{FF2B5EF4-FFF2-40B4-BE49-F238E27FC236}">
              <a16:creationId xmlns:a16="http://schemas.microsoft.com/office/drawing/2014/main" xmlns="" id="{00000000-0008-0000-00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962" y="632966246"/>
          <a:ext cx="707639" cy="492375"/>
        </a:xfrm>
        <a:prstGeom prst="rect">
          <a:avLst/>
        </a:prstGeom>
      </xdr:spPr>
    </xdr:pic>
    <xdr:clientData/>
  </xdr:twoCellAnchor>
  <xdr:twoCellAnchor>
    <xdr:from>
      <xdr:col>0</xdr:col>
      <xdr:colOff>812427</xdr:colOff>
      <xdr:row>1446</xdr:row>
      <xdr:rowOff>25859</xdr:rowOff>
    </xdr:from>
    <xdr:to>
      <xdr:col>0</xdr:col>
      <xdr:colOff>1520066</xdr:colOff>
      <xdr:row>1447</xdr:row>
      <xdr:rowOff>13969</xdr:rowOff>
    </xdr:to>
    <xdr:pic>
      <xdr:nvPicPr>
        <xdr:cNvPr id="1512" name="Рисунок 1511">
          <a:extLst>
            <a:ext uri="{FF2B5EF4-FFF2-40B4-BE49-F238E27FC236}">
              <a16:creationId xmlns:a16="http://schemas.microsoft.com/office/drawing/2014/main" xmlns="" id="{00000000-0008-0000-00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427" y="634480506"/>
          <a:ext cx="707639" cy="492375"/>
        </a:xfrm>
        <a:prstGeom prst="rect">
          <a:avLst/>
        </a:prstGeom>
      </xdr:spPr>
    </xdr:pic>
    <xdr:clientData/>
  </xdr:twoCellAnchor>
  <xdr:twoCellAnchor>
    <xdr:from>
      <xdr:col>0</xdr:col>
      <xdr:colOff>810962</xdr:colOff>
      <xdr:row>1449</xdr:row>
      <xdr:rowOff>24393</xdr:rowOff>
    </xdr:from>
    <xdr:to>
      <xdr:col>0</xdr:col>
      <xdr:colOff>1518601</xdr:colOff>
      <xdr:row>1450</xdr:row>
      <xdr:rowOff>12503</xdr:rowOff>
    </xdr:to>
    <xdr:pic>
      <xdr:nvPicPr>
        <xdr:cNvPr id="1513" name="Рисунок 1512">
          <a:extLst>
            <a:ext uri="{FF2B5EF4-FFF2-40B4-BE49-F238E27FC236}">
              <a16:creationId xmlns:a16="http://schemas.microsoft.com/office/drawing/2014/main" xmlns="" id="{00000000-0008-0000-00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962" y="635991834"/>
          <a:ext cx="707639" cy="492375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1435</xdr:row>
      <xdr:rowOff>33618</xdr:rowOff>
    </xdr:from>
    <xdr:to>
      <xdr:col>0</xdr:col>
      <xdr:colOff>1503258</xdr:colOff>
      <xdr:row>1436</xdr:row>
      <xdr:rowOff>12203</xdr:rowOff>
    </xdr:to>
    <xdr:pic>
      <xdr:nvPicPr>
        <xdr:cNvPr id="1514" name="Рисунок 1513">
          <a:extLst>
            <a:ext uri="{FF2B5EF4-FFF2-40B4-BE49-F238E27FC236}">
              <a16:creationId xmlns:a16="http://schemas.microsoft.com/office/drawing/2014/main" xmlns="" id="{00000000-0008-0000-00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28941353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1436</xdr:row>
      <xdr:rowOff>33618</xdr:rowOff>
    </xdr:from>
    <xdr:to>
      <xdr:col>0</xdr:col>
      <xdr:colOff>1503258</xdr:colOff>
      <xdr:row>1437</xdr:row>
      <xdr:rowOff>12203</xdr:rowOff>
    </xdr:to>
    <xdr:pic>
      <xdr:nvPicPr>
        <xdr:cNvPr id="1515" name="Рисунок 1514">
          <a:extLst>
            <a:ext uri="{FF2B5EF4-FFF2-40B4-BE49-F238E27FC236}">
              <a16:creationId xmlns:a16="http://schemas.microsoft.com/office/drawing/2014/main" xmlns="" id="{00000000-0008-0000-00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29445618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1438</xdr:row>
      <xdr:rowOff>33618</xdr:rowOff>
    </xdr:from>
    <xdr:to>
      <xdr:col>0</xdr:col>
      <xdr:colOff>1503258</xdr:colOff>
      <xdr:row>1439</xdr:row>
      <xdr:rowOff>12203</xdr:rowOff>
    </xdr:to>
    <xdr:pic>
      <xdr:nvPicPr>
        <xdr:cNvPr id="1516" name="Рисунок 1515">
          <a:extLst>
            <a:ext uri="{FF2B5EF4-FFF2-40B4-BE49-F238E27FC236}">
              <a16:creationId xmlns:a16="http://schemas.microsoft.com/office/drawing/2014/main" xmlns="" id="{00000000-0008-0000-00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30454147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1439</xdr:row>
      <xdr:rowOff>33618</xdr:rowOff>
    </xdr:from>
    <xdr:to>
      <xdr:col>0</xdr:col>
      <xdr:colOff>1503258</xdr:colOff>
      <xdr:row>1440</xdr:row>
      <xdr:rowOff>12203</xdr:rowOff>
    </xdr:to>
    <xdr:pic>
      <xdr:nvPicPr>
        <xdr:cNvPr id="1517" name="Рисунок 1516">
          <a:extLst>
            <a:ext uri="{FF2B5EF4-FFF2-40B4-BE49-F238E27FC236}">
              <a16:creationId xmlns:a16="http://schemas.microsoft.com/office/drawing/2014/main" xmlns="" id="{00000000-0008-0000-00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30958412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1441</xdr:row>
      <xdr:rowOff>33618</xdr:rowOff>
    </xdr:from>
    <xdr:to>
      <xdr:col>0</xdr:col>
      <xdr:colOff>1503258</xdr:colOff>
      <xdr:row>1442</xdr:row>
      <xdr:rowOff>12204</xdr:rowOff>
    </xdr:to>
    <xdr:pic>
      <xdr:nvPicPr>
        <xdr:cNvPr id="1518" name="Рисунок 1517">
          <a:extLst>
            <a:ext uri="{FF2B5EF4-FFF2-40B4-BE49-F238E27FC236}">
              <a16:creationId xmlns:a16="http://schemas.microsoft.com/office/drawing/2014/main" xmlns="" id="{00000000-0008-0000-00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31966942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1442</xdr:row>
      <xdr:rowOff>33618</xdr:rowOff>
    </xdr:from>
    <xdr:to>
      <xdr:col>0</xdr:col>
      <xdr:colOff>1503258</xdr:colOff>
      <xdr:row>1443</xdr:row>
      <xdr:rowOff>12203</xdr:rowOff>
    </xdr:to>
    <xdr:pic>
      <xdr:nvPicPr>
        <xdr:cNvPr id="1519" name="Рисунок 1518">
          <a:extLst>
            <a:ext uri="{FF2B5EF4-FFF2-40B4-BE49-F238E27FC236}">
              <a16:creationId xmlns:a16="http://schemas.microsoft.com/office/drawing/2014/main" xmlns="" id="{00000000-0008-0000-00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32471206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1444</xdr:row>
      <xdr:rowOff>33618</xdr:rowOff>
    </xdr:from>
    <xdr:to>
      <xdr:col>0</xdr:col>
      <xdr:colOff>1503258</xdr:colOff>
      <xdr:row>1445</xdr:row>
      <xdr:rowOff>12204</xdr:rowOff>
    </xdr:to>
    <xdr:pic>
      <xdr:nvPicPr>
        <xdr:cNvPr id="1520" name="Рисунок 1519">
          <a:extLst>
            <a:ext uri="{FF2B5EF4-FFF2-40B4-BE49-F238E27FC236}">
              <a16:creationId xmlns:a16="http://schemas.microsoft.com/office/drawing/2014/main" xmlns="" id="{00000000-0008-0000-00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33479736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1445</xdr:row>
      <xdr:rowOff>33618</xdr:rowOff>
    </xdr:from>
    <xdr:to>
      <xdr:col>0</xdr:col>
      <xdr:colOff>1503258</xdr:colOff>
      <xdr:row>1446</xdr:row>
      <xdr:rowOff>12203</xdr:rowOff>
    </xdr:to>
    <xdr:pic>
      <xdr:nvPicPr>
        <xdr:cNvPr id="1521" name="Рисунок 1520">
          <a:extLst>
            <a:ext uri="{FF2B5EF4-FFF2-40B4-BE49-F238E27FC236}">
              <a16:creationId xmlns:a16="http://schemas.microsoft.com/office/drawing/2014/main" xmlns="" id="{00000000-0008-0000-00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33984000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1447</xdr:row>
      <xdr:rowOff>33618</xdr:rowOff>
    </xdr:from>
    <xdr:to>
      <xdr:col>0</xdr:col>
      <xdr:colOff>1503258</xdr:colOff>
      <xdr:row>1448</xdr:row>
      <xdr:rowOff>12204</xdr:rowOff>
    </xdr:to>
    <xdr:pic>
      <xdr:nvPicPr>
        <xdr:cNvPr id="1522" name="Рисунок 1521">
          <a:extLst>
            <a:ext uri="{FF2B5EF4-FFF2-40B4-BE49-F238E27FC236}">
              <a16:creationId xmlns:a16="http://schemas.microsoft.com/office/drawing/2014/main" xmlns="" id="{00000000-0008-0000-00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34992530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1448</xdr:row>
      <xdr:rowOff>33618</xdr:rowOff>
    </xdr:from>
    <xdr:to>
      <xdr:col>0</xdr:col>
      <xdr:colOff>1503258</xdr:colOff>
      <xdr:row>1449</xdr:row>
      <xdr:rowOff>12203</xdr:rowOff>
    </xdr:to>
    <xdr:pic>
      <xdr:nvPicPr>
        <xdr:cNvPr id="1523" name="Рисунок 1522">
          <a:extLst>
            <a:ext uri="{FF2B5EF4-FFF2-40B4-BE49-F238E27FC236}">
              <a16:creationId xmlns:a16="http://schemas.microsoft.com/office/drawing/2014/main" xmlns="" id="{00000000-0008-0000-00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35496794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1450</xdr:row>
      <xdr:rowOff>33618</xdr:rowOff>
    </xdr:from>
    <xdr:to>
      <xdr:col>0</xdr:col>
      <xdr:colOff>1503258</xdr:colOff>
      <xdr:row>1451</xdr:row>
      <xdr:rowOff>12203</xdr:rowOff>
    </xdr:to>
    <xdr:pic>
      <xdr:nvPicPr>
        <xdr:cNvPr id="1524" name="Рисунок 1523">
          <a:extLst>
            <a:ext uri="{FF2B5EF4-FFF2-40B4-BE49-F238E27FC236}">
              <a16:creationId xmlns:a16="http://schemas.microsoft.com/office/drawing/2014/main" xmlns="" id="{00000000-0008-0000-00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36505324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1451</xdr:row>
      <xdr:rowOff>33618</xdr:rowOff>
    </xdr:from>
    <xdr:to>
      <xdr:col>0</xdr:col>
      <xdr:colOff>1503258</xdr:colOff>
      <xdr:row>1452</xdr:row>
      <xdr:rowOff>12204</xdr:rowOff>
    </xdr:to>
    <xdr:pic>
      <xdr:nvPicPr>
        <xdr:cNvPr id="1525" name="Рисунок 1524">
          <a:extLst>
            <a:ext uri="{FF2B5EF4-FFF2-40B4-BE49-F238E27FC236}">
              <a16:creationId xmlns:a16="http://schemas.microsoft.com/office/drawing/2014/main" xmlns="" id="{00000000-0008-0000-00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637009589"/>
          <a:ext cx="707639" cy="482850"/>
        </a:xfrm>
        <a:prstGeom prst="rect">
          <a:avLst/>
        </a:prstGeom>
      </xdr:spPr>
    </xdr:pic>
    <xdr:clientData/>
  </xdr:twoCellAnchor>
  <xdr:twoCellAnchor>
    <xdr:from>
      <xdr:col>0</xdr:col>
      <xdr:colOff>851647</xdr:colOff>
      <xdr:row>1453</xdr:row>
      <xdr:rowOff>47224</xdr:rowOff>
    </xdr:from>
    <xdr:to>
      <xdr:col>0</xdr:col>
      <xdr:colOff>1461816</xdr:colOff>
      <xdr:row>1454</xdr:row>
      <xdr:rowOff>35334</xdr:rowOff>
    </xdr:to>
    <xdr:pic>
      <xdr:nvPicPr>
        <xdr:cNvPr id="1526" name="Рисунок 1525">
          <a:extLst>
            <a:ext uri="{FF2B5EF4-FFF2-40B4-BE49-F238E27FC236}">
              <a16:creationId xmlns:a16="http://schemas.microsoft.com/office/drawing/2014/main" xmlns="" id="{00000000-0008-0000-00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47" y="638031724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1454</xdr:row>
      <xdr:rowOff>58430</xdr:rowOff>
    </xdr:from>
    <xdr:to>
      <xdr:col>0</xdr:col>
      <xdr:colOff>1428199</xdr:colOff>
      <xdr:row>1455</xdr:row>
      <xdr:rowOff>46541</xdr:rowOff>
    </xdr:to>
    <xdr:pic>
      <xdr:nvPicPr>
        <xdr:cNvPr id="1527" name="Рисунок 1526">
          <a:extLst>
            <a:ext uri="{FF2B5EF4-FFF2-40B4-BE49-F238E27FC236}">
              <a16:creationId xmlns:a16="http://schemas.microsoft.com/office/drawing/2014/main" xmlns="" id="{00000000-0008-0000-00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38547195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818031</xdr:colOff>
      <xdr:row>1455</xdr:row>
      <xdr:rowOff>56029</xdr:rowOff>
    </xdr:from>
    <xdr:to>
      <xdr:col>0</xdr:col>
      <xdr:colOff>1427708</xdr:colOff>
      <xdr:row>1456</xdr:row>
      <xdr:rowOff>34614</xdr:rowOff>
    </xdr:to>
    <xdr:pic>
      <xdr:nvPicPr>
        <xdr:cNvPr id="1528" name="Рисунок 1527">
          <a:extLst>
            <a:ext uri="{FF2B5EF4-FFF2-40B4-BE49-F238E27FC236}">
              <a16:creationId xmlns:a16="http://schemas.microsoft.com/office/drawing/2014/main" xmlns="" id="{00000000-0008-0000-00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1" y="639049058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818031</xdr:colOff>
      <xdr:row>1456</xdr:row>
      <xdr:rowOff>56029</xdr:rowOff>
    </xdr:from>
    <xdr:to>
      <xdr:col>0</xdr:col>
      <xdr:colOff>1427708</xdr:colOff>
      <xdr:row>1457</xdr:row>
      <xdr:rowOff>34614</xdr:rowOff>
    </xdr:to>
    <xdr:pic>
      <xdr:nvPicPr>
        <xdr:cNvPr id="1529" name="Рисунок 1528">
          <a:extLst>
            <a:ext uri="{FF2B5EF4-FFF2-40B4-BE49-F238E27FC236}">
              <a16:creationId xmlns:a16="http://schemas.microsoft.com/office/drawing/2014/main" xmlns="" id="{00000000-0008-0000-00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1" y="639553323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818031</xdr:colOff>
      <xdr:row>1457</xdr:row>
      <xdr:rowOff>56029</xdr:rowOff>
    </xdr:from>
    <xdr:to>
      <xdr:col>0</xdr:col>
      <xdr:colOff>1428236</xdr:colOff>
      <xdr:row>1458</xdr:row>
      <xdr:rowOff>34614</xdr:rowOff>
    </xdr:to>
    <xdr:pic>
      <xdr:nvPicPr>
        <xdr:cNvPr id="1530" name="Рисунок 1529">
          <a:extLst>
            <a:ext uri="{FF2B5EF4-FFF2-40B4-BE49-F238E27FC236}">
              <a16:creationId xmlns:a16="http://schemas.microsoft.com/office/drawing/2014/main" xmlns="" id="{00000000-0008-0000-00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1" y="640057588"/>
          <a:ext cx="610205" cy="482850"/>
        </a:xfrm>
        <a:prstGeom prst="rect">
          <a:avLst/>
        </a:prstGeom>
      </xdr:spPr>
    </xdr:pic>
    <xdr:clientData/>
  </xdr:twoCellAnchor>
  <xdr:twoCellAnchor>
    <xdr:from>
      <xdr:col>0</xdr:col>
      <xdr:colOff>818031</xdr:colOff>
      <xdr:row>1458</xdr:row>
      <xdr:rowOff>56029</xdr:rowOff>
    </xdr:from>
    <xdr:to>
      <xdr:col>0</xdr:col>
      <xdr:colOff>1428200</xdr:colOff>
      <xdr:row>1459</xdr:row>
      <xdr:rowOff>34615</xdr:rowOff>
    </xdr:to>
    <xdr:pic>
      <xdr:nvPicPr>
        <xdr:cNvPr id="1531" name="Рисунок 1530">
          <a:extLst>
            <a:ext uri="{FF2B5EF4-FFF2-40B4-BE49-F238E27FC236}">
              <a16:creationId xmlns:a16="http://schemas.microsoft.com/office/drawing/2014/main" xmlns="" id="{00000000-0008-0000-00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1" y="640561853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1459</xdr:row>
      <xdr:rowOff>56029</xdr:rowOff>
    </xdr:from>
    <xdr:to>
      <xdr:col>0</xdr:col>
      <xdr:colOff>1428199</xdr:colOff>
      <xdr:row>1460</xdr:row>
      <xdr:rowOff>34614</xdr:rowOff>
    </xdr:to>
    <xdr:pic>
      <xdr:nvPicPr>
        <xdr:cNvPr id="1532" name="Рисунок 1531">
          <a:extLst>
            <a:ext uri="{FF2B5EF4-FFF2-40B4-BE49-F238E27FC236}">
              <a16:creationId xmlns:a16="http://schemas.microsoft.com/office/drawing/2014/main" xmlns="" id="{00000000-0008-0000-00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4106611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1460</xdr:row>
      <xdr:rowOff>56029</xdr:rowOff>
    </xdr:from>
    <xdr:to>
      <xdr:col>0</xdr:col>
      <xdr:colOff>1428199</xdr:colOff>
      <xdr:row>1461</xdr:row>
      <xdr:rowOff>34614</xdr:rowOff>
    </xdr:to>
    <xdr:pic>
      <xdr:nvPicPr>
        <xdr:cNvPr id="1533" name="Рисунок 1532">
          <a:extLst>
            <a:ext uri="{FF2B5EF4-FFF2-40B4-BE49-F238E27FC236}">
              <a16:creationId xmlns:a16="http://schemas.microsoft.com/office/drawing/2014/main" xmlns="" id="{00000000-0008-0000-00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41570382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818031</xdr:colOff>
      <xdr:row>1461</xdr:row>
      <xdr:rowOff>56029</xdr:rowOff>
    </xdr:from>
    <xdr:to>
      <xdr:col>0</xdr:col>
      <xdr:colOff>1427708</xdr:colOff>
      <xdr:row>1462</xdr:row>
      <xdr:rowOff>34615</xdr:rowOff>
    </xdr:to>
    <xdr:pic>
      <xdr:nvPicPr>
        <xdr:cNvPr id="1534" name="Рисунок 1533">
          <a:extLst>
            <a:ext uri="{FF2B5EF4-FFF2-40B4-BE49-F238E27FC236}">
              <a16:creationId xmlns:a16="http://schemas.microsoft.com/office/drawing/2014/main" xmlns="" id="{00000000-0008-0000-00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1" y="642074647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1462</xdr:row>
      <xdr:rowOff>56029</xdr:rowOff>
    </xdr:from>
    <xdr:to>
      <xdr:col>0</xdr:col>
      <xdr:colOff>1427707</xdr:colOff>
      <xdr:row>1463</xdr:row>
      <xdr:rowOff>34614</xdr:rowOff>
    </xdr:to>
    <xdr:pic>
      <xdr:nvPicPr>
        <xdr:cNvPr id="1535" name="Рисунок 1534">
          <a:extLst>
            <a:ext uri="{FF2B5EF4-FFF2-40B4-BE49-F238E27FC236}">
              <a16:creationId xmlns:a16="http://schemas.microsoft.com/office/drawing/2014/main" xmlns="" id="{00000000-0008-0000-00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42578911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1463</xdr:row>
      <xdr:rowOff>56029</xdr:rowOff>
    </xdr:from>
    <xdr:to>
      <xdr:col>0</xdr:col>
      <xdr:colOff>1427707</xdr:colOff>
      <xdr:row>1464</xdr:row>
      <xdr:rowOff>34614</xdr:rowOff>
    </xdr:to>
    <xdr:pic>
      <xdr:nvPicPr>
        <xdr:cNvPr id="1536" name="Рисунок 1535">
          <a:extLst>
            <a:ext uri="{FF2B5EF4-FFF2-40B4-BE49-F238E27FC236}">
              <a16:creationId xmlns:a16="http://schemas.microsoft.com/office/drawing/2014/main" xmlns="" id="{00000000-0008-0000-00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43083176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1464</xdr:row>
      <xdr:rowOff>56029</xdr:rowOff>
    </xdr:from>
    <xdr:to>
      <xdr:col>0</xdr:col>
      <xdr:colOff>1416502</xdr:colOff>
      <xdr:row>1465</xdr:row>
      <xdr:rowOff>34615</xdr:rowOff>
    </xdr:to>
    <xdr:pic>
      <xdr:nvPicPr>
        <xdr:cNvPr id="1537" name="Рисунок 1536">
          <a:extLst>
            <a:ext uri="{FF2B5EF4-FFF2-40B4-BE49-F238E27FC236}">
              <a16:creationId xmlns:a16="http://schemas.microsoft.com/office/drawing/2014/main" xmlns="" id="{00000000-0008-0000-00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643587441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1465</xdr:row>
      <xdr:rowOff>56029</xdr:rowOff>
    </xdr:from>
    <xdr:to>
      <xdr:col>0</xdr:col>
      <xdr:colOff>1416502</xdr:colOff>
      <xdr:row>1466</xdr:row>
      <xdr:rowOff>34614</xdr:rowOff>
    </xdr:to>
    <xdr:pic>
      <xdr:nvPicPr>
        <xdr:cNvPr id="1538" name="Рисунок 1537">
          <a:extLst>
            <a:ext uri="{FF2B5EF4-FFF2-40B4-BE49-F238E27FC236}">
              <a16:creationId xmlns:a16="http://schemas.microsoft.com/office/drawing/2014/main" xmlns="" id="{00000000-0008-0000-00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644091705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1466</xdr:row>
      <xdr:rowOff>56029</xdr:rowOff>
    </xdr:from>
    <xdr:to>
      <xdr:col>0</xdr:col>
      <xdr:colOff>1416502</xdr:colOff>
      <xdr:row>1467</xdr:row>
      <xdr:rowOff>34614</xdr:rowOff>
    </xdr:to>
    <xdr:pic>
      <xdr:nvPicPr>
        <xdr:cNvPr id="1539" name="Рисунок 1538">
          <a:extLst>
            <a:ext uri="{FF2B5EF4-FFF2-40B4-BE49-F238E27FC236}">
              <a16:creationId xmlns:a16="http://schemas.microsoft.com/office/drawing/2014/main" xmlns="" id="{00000000-0008-0000-00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644595970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1467</xdr:row>
      <xdr:rowOff>56029</xdr:rowOff>
    </xdr:from>
    <xdr:to>
      <xdr:col>0</xdr:col>
      <xdr:colOff>1416502</xdr:colOff>
      <xdr:row>1468</xdr:row>
      <xdr:rowOff>34614</xdr:rowOff>
    </xdr:to>
    <xdr:pic>
      <xdr:nvPicPr>
        <xdr:cNvPr id="1540" name="Рисунок 1539">
          <a:extLst>
            <a:ext uri="{FF2B5EF4-FFF2-40B4-BE49-F238E27FC236}">
              <a16:creationId xmlns:a16="http://schemas.microsoft.com/office/drawing/2014/main" xmlns="" id="{00000000-0008-0000-00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645100235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1468</xdr:row>
      <xdr:rowOff>56029</xdr:rowOff>
    </xdr:from>
    <xdr:to>
      <xdr:col>0</xdr:col>
      <xdr:colOff>1416502</xdr:colOff>
      <xdr:row>1469</xdr:row>
      <xdr:rowOff>34615</xdr:rowOff>
    </xdr:to>
    <xdr:pic>
      <xdr:nvPicPr>
        <xdr:cNvPr id="1541" name="Рисунок 1540">
          <a:extLst>
            <a:ext uri="{FF2B5EF4-FFF2-40B4-BE49-F238E27FC236}">
              <a16:creationId xmlns:a16="http://schemas.microsoft.com/office/drawing/2014/main" xmlns="" id="{00000000-0008-0000-00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645604500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1469</xdr:row>
      <xdr:rowOff>56029</xdr:rowOff>
    </xdr:from>
    <xdr:to>
      <xdr:col>0</xdr:col>
      <xdr:colOff>1416502</xdr:colOff>
      <xdr:row>1470</xdr:row>
      <xdr:rowOff>34614</xdr:rowOff>
    </xdr:to>
    <xdr:pic>
      <xdr:nvPicPr>
        <xdr:cNvPr id="1542" name="Рисунок 1541">
          <a:extLst>
            <a:ext uri="{FF2B5EF4-FFF2-40B4-BE49-F238E27FC236}">
              <a16:creationId xmlns:a16="http://schemas.microsoft.com/office/drawing/2014/main" xmlns="" id="{00000000-0008-0000-00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646108764"/>
          <a:ext cx="609678" cy="482850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1470</xdr:row>
      <xdr:rowOff>56029</xdr:rowOff>
    </xdr:from>
    <xdr:to>
      <xdr:col>0</xdr:col>
      <xdr:colOff>1416994</xdr:colOff>
      <xdr:row>1471</xdr:row>
      <xdr:rowOff>34614</xdr:rowOff>
    </xdr:to>
    <xdr:pic>
      <xdr:nvPicPr>
        <xdr:cNvPr id="1543" name="Рисунок 1542">
          <a:extLst>
            <a:ext uri="{FF2B5EF4-FFF2-40B4-BE49-F238E27FC236}">
              <a16:creationId xmlns:a16="http://schemas.microsoft.com/office/drawing/2014/main" xmlns="" id="{00000000-0008-0000-00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646613029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1471</xdr:row>
      <xdr:rowOff>56029</xdr:rowOff>
    </xdr:from>
    <xdr:to>
      <xdr:col>0</xdr:col>
      <xdr:colOff>1416993</xdr:colOff>
      <xdr:row>1472</xdr:row>
      <xdr:rowOff>34615</xdr:rowOff>
    </xdr:to>
    <xdr:pic>
      <xdr:nvPicPr>
        <xdr:cNvPr id="1544" name="Рисунок 1543">
          <a:extLst>
            <a:ext uri="{FF2B5EF4-FFF2-40B4-BE49-F238E27FC236}">
              <a16:creationId xmlns:a16="http://schemas.microsoft.com/office/drawing/2014/main" xmlns="" id="{00000000-0008-0000-00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647117294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1472</xdr:row>
      <xdr:rowOff>56029</xdr:rowOff>
    </xdr:from>
    <xdr:to>
      <xdr:col>0</xdr:col>
      <xdr:colOff>1416993</xdr:colOff>
      <xdr:row>1473</xdr:row>
      <xdr:rowOff>34614</xdr:rowOff>
    </xdr:to>
    <xdr:pic>
      <xdr:nvPicPr>
        <xdr:cNvPr id="1545" name="Рисунок 1544">
          <a:extLst>
            <a:ext uri="{FF2B5EF4-FFF2-40B4-BE49-F238E27FC236}">
              <a16:creationId xmlns:a16="http://schemas.microsoft.com/office/drawing/2014/main" xmlns="" id="{00000000-0008-0000-00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647621558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1473</xdr:row>
      <xdr:rowOff>56029</xdr:rowOff>
    </xdr:from>
    <xdr:to>
      <xdr:col>0</xdr:col>
      <xdr:colOff>1416502</xdr:colOff>
      <xdr:row>1474</xdr:row>
      <xdr:rowOff>34614</xdr:rowOff>
    </xdr:to>
    <xdr:pic>
      <xdr:nvPicPr>
        <xdr:cNvPr id="1546" name="Рисунок 1545">
          <a:extLst>
            <a:ext uri="{FF2B5EF4-FFF2-40B4-BE49-F238E27FC236}">
              <a16:creationId xmlns:a16="http://schemas.microsoft.com/office/drawing/2014/main" xmlns="" id="{00000000-0008-0000-00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648125823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1474</xdr:row>
      <xdr:rowOff>56029</xdr:rowOff>
    </xdr:from>
    <xdr:to>
      <xdr:col>0</xdr:col>
      <xdr:colOff>1416501</xdr:colOff>
      <xdr:row>1475</xdr:row>
      <xdr:rowOff>34614</xdr:rowOff>
    </xdr:to>
    <xdr:pic>
      <xdr:nvPicPr>
        <xdr:cNvPr id="1547" name="Рисунок 1546">
          <a:extLst>
            <a:ext uri="{FF2B5EF4-FFF2-40B4-BE49-F238E27FC236}">
              <a16:creationId xmlns:a16="http://schemas.microsoft.com/office/drawing/2014/main" xmlns="" id="{00000000-0008-0000-00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648630088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1475</xdr:row>
      <xdr:rowOff>56029</xdr:rowOff>
    </xdr:from>
    <xdr:to>
      <xdr:col>0</xdr:col>
      <xdr:colOff>1416501</xdr:colOff>
      <xdr:row>1476</xdr:row>
      <xdr:rowOff>34615</xdr:rowOff>
    </xdr:to>
    <xdr:pic>
      <xdr:nvPicPr>
        <xdr:cNvPr id="1548" name="Рисунок 1547">
          <a:extLst>
            <a:ext uri="{FF2B5EF4-FFF2-40B4-BE49-F238E27FC236}">
              <a16:creationId xmlns:a16="http://schemas.microsoft.com/office/drawing/2014/main" xmlns="" id="{00000000-0008-0000-00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649134353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1476</xdr:row>
      <xdr:rowOff>56029</xdr:rowOff>
    </xdr:from>
    <xdr:to>
      <xdr:col>0</xdr:col>
      <xdr:colOff>1416994</xdr:colOff>
      <xdr:row>1477</xdr:row>
      <xdr:rowOff>34614</xdr:rowOff>
    </xdr:to>
    <xdr:pic>
      <xdr:nvPicPr>
        <xdr:cNvPr id="1549" name="Рисунок 1548">
          <a:extLst>
            <a:ext uri="{FF2B5EF4-FFF2-40B4-BE49-F238E27FC236}">
              <a16:creationId xmlns:a16="http://schemas.microsoft.com/office/drawing/2014/main" xmlns="" id="{00000000-0008-0000-00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64963861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1477</xdr:row>
      <xdr:rowOff>56029</xdr:rowOff>
    </xdr:from>
    <xdr:to>
      <xdr:col>0</xdr:col>
      <xdr:colOff>1416993</xdr:colOff>
      <xdr:row>1478</xdr:row>
      <xdr:rowOff>34614</xdr:rowOff>
    </xdr:to>
    <xdr:pic>
      <xdr:nvPicPr>
        <xdr:cNvPr id="1550" name="Рисунок 1549">
          <a:extLst>
            <a:ext uri="{FF2B5EF4-FFF2-40B4-BE49-F238E27FC236}">
              <a16:creationId xmlns:a16="http://schemas.microsoft.com/office/drawing/2014/main" xmlns="" id="{00000000-0008-0000-00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650142882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1478</xdr:row>
      <xdr:rowOff>56029</xdr:rowOff>
    </xdr:from>
    <xdr:to>
      <xdr:col>0</xdr:col>
      <xdr:colOff>1416993</xdr:colOff>
      <xdr:row>1479</xdr:row>
      <xdr:rowOff>34615</xdr:rowOff>
    </xdr:to>
    <xdr:pic>
      <xdr:nvPicPr>
        <xdr:cNvPr id="1551" name="Рисунок 1550">
          <a:extLst>
            <a:ext uri="{FF2B5EF4-FFF2-40B4-BE49-F238E27FC236}">
              <a16:creationId xmlns:a16="http://schemas.microsoft.com/office/drawing/2014/main" xmlns="" id="{00000000-0008-0000-00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650647147"/>
          <a:ext cx="610169" cy="482850"/>
        </a:xfrm>
        <a:prstGeom prst="rect">
          <a:avLst/>
        </a:prstGeom>
      </xdr:spPr>
    </xdr:pic>
    <xdr:clientData/>
  </xdr:twoCellAnchor>
  <xdr:twoCellAnchor>
    <xdr:from>
      <xdr:col>0</xdr:col>
      <xdr:colOff>806825</xdr:colOff>
      <xdr:row>1479</xdr:row>
      <xdr:rowOff>56029</xdr:rowOff>
    </xdr:from>
    <xdr:to>
      <xdr:col>0</xdr:col>
      <xdr:colOff>1416502</xdr:colOff>
      <xdr:row>1480</xdr:row>
      <xdr:rowOff>34614</xdr:rowOff>
    </xdr:to>
    <xdr:pic>
      <xdr:nvPicPr>
        <xdr:cNvPr id="1552" name="Рисунок 1551">
          <a:extLst>
            <a:ext uri="{FF2B5EF4-FFF2-40B4-BE49-F238E27FC236}">
              <a16:creationId xmlns:a16="http://schemas.microsoft.com/office/drawing/2014/main" xmlns="" id="{00000000-0008-0000-00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5" y="651151411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1480</xdr:row>
      <xdr:rowOff>56029</xdr:rowOff>
    </xdr:from>
    <xdr:to>
      <xdr:col>0</xdr:col>
      <xdr:colOff>1416501</xdr:colOff>
      <xdr:row>1481</xdr:row>
      <xdr:rowOff>34614</xdr:rowOff>
    </xdr:to>
    <xdr:pic>
      <xdr:nvPicPr>
        <xdr:cNvPr id="1553" name="Рисунок 1552">
          <a:extLst>
            <a:ext uri="{FF2B5EF4-FFF2-40B4-BE49-F238E27FC236}">
              <a16:creationId xmlns:a16="http://schemas.microsoft.com/office/drawing/2014/main" xmlns="" id="{00000000-0008-0000-00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651655676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1481</xdr:row>
      <xdr:rowOff>56029</xdr:rowOff>
    </xdr:from>
    <xdr:to>
      <xdr:col>0</xdr:col>
      <xdr:colOff>1416501</xdr:colOff>
      <xdr:row>1482</xdr:row>
      <xdr:rowOff>34615</xdr:rowOff>
    </xdr:to>
    <xdr:pic>
      <xdr:nvPicPr>
        <xdr:cNvPr id="1554" name="Рисунок 1553">
          <a:extLst>
            <a:ext uri="{FF2B5EF4-FFF2-40B4-BE49-F238E27FC236}">
              <a16:creationId xmlns:a16="http://schemas.microsoft.com/office/drawing/2014/main" xmlns="" id="{00000000-0008-0000-00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652159941"/>
          <a:ext cx="609677" cy="482850"/>
        </a:xfrm>
        <a:prstGeom prst="rect">
          <a:avLst/>
        </a:prstGeom>
      </xdr:spPr>
    </xdr:pic>
    <xdr:clientData/>
  </xdr:twoCellAnchor>
  <xdr:twoCellAnchor>
    <xdr:from>
      <xdr:col>0</xdr:col>
      <xdr:colOff>793018</xdr:colOff>
      <xdr:row>1483</xdr:row>
      <xdr:rowOff>46582</xdr:rowOff>
    </xdr:from>
    <xdr:to>
      <xdr:col>0</xdr:col>
      <xdr:colOff>1513018</xdr:colOff>
      <xdr:row>1484</xdr:row>
      <xdr:rowOff>25167</xdr:rowOff>
    </xdr:to>
    <xdr:pic>
      <xdr:nvPicPr>
        <xdr:cNvPr id="1555" name="Рисунок 1554">
          <a:extLst>
            <a:ext uri="{FF2B5EF4-FFF2-40B4-BE49-F238E27FC236}">
              <a16:creationId xmlns:a16="http://schemas.microsoft.com/office/drawing/2014/main" xmlns="" id="{00000000-0008-0000-00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018" y="653159023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769470</xdr:colOff>
      <xdr:row>1482</xdr:row>
      <xdr:rowOff>33617</xdr:rowOff>
    </xdr:from>
    <xdr:to>
      <xdr:col>0</xdr:col>
      <xdr:colOff>1489470</xdr:colOff>
      <xdr:row>1483</xdr:row>
      <xdr:rowOff>12202</xdr:rowOff>
    </xdr:to>
    <xdr:pic>
      <xdr:nvPicPr>
        <xdr:cNvPr id="1556" name="Рисунок 1555">
          <a:extLst>
            <a:ext uri="{FF2B5EF4-FFF2-40B4-BE49-F238E27FC236}">
              <a16:creationId xmlns:a16="http://schemas.microsoft.com/office/drawing/2014/main" xmlns="" id="{00000000-0008-0000-00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470" y="652641793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811804</xdr:colOff>
      <xdr:row>1485</xdr:row>
      <xdr:rowOff>47774</xdr:rowOff>
    </xdr:from>
    <xdr:to>
      <xdr:col>0</xdr:col>
      <xdr:colOff>1531804</xdr:colOff>
      <xdr:row>1486</xdr:row>
      <xdr:rowOff>26360</xdr:rowOff>
    </xdr:to>
    <xdr:pic>
      <xdr:nvPicPr>
        <xdr:cNvPr id="1557" name="Рисунок 1556">
          <a:extLst>
            <a:ext uri="{FF2B5EF4-FFF2-40B4-BE49-F238E27FC236}">
              <a16:creationId xmlns:a16="http://schemas.microsoft.com/office/drawing/2014/main" xmlns="" id="{00000000-0008-0000-00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804" y="654168745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872016</xdr:colOff>
      <xdr:row>1484</xdr:row>
      <xdr:rowOff>54784</xdr:rowOff>
    </xdr:from>
    <xdr:to>
      <xdr:col>0</xdr:col>
      <xdr:colOff>1517176</xdr:colOff>
      <xdr:row>1485</xdr:row>
      <xdr:rowOff>15339</xdr:rowOff>
    </xdr:to>
    <xdr:pic>
      <xdr:nvPicPr>
        <xdr:cNvPr id="1558" name="Рисунок 1557">
          <a:extLst>
            <a:ext uri="{FF2B5EF4-FFF2-40B4-BE49-F238E27FC236}">
              <a16:creationId xmlns:a16="http://schemas.microsoft.com/office/drawing/2014/main" xmlns="" id="{00000000-0008-0000-00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016" y="653671490"/>
          <a:ext cx="645160" cy="464820"/>
        </a:xfrm>
        <a:prstGeom prst="rect">
          <a:avLst/>
        </a:prstGeom>
      </xdr:spPr>
    </xdr:pic>
    <xdr:clientData/>
  </xdr:twoCellAnchor>
  <xdr:twoCellAnchor>
    <xdr:from>
      <xdr:col>0</xdr:col>
      <xdr:colOff>837240</xdr:colOff>
      <xdr:row>395</xdr:row>
      <xdr:rowOff>0</xdr:rowOff>
    </xdr:from>
    <xdr:to>
      <xdr:col>0</xdr:col>
      <xdr:colOff>1405512</xdr:colOff>
      <xdr:row>395</xdr:row>
      <xdr:rowOff>501900</xdr:rowOff>
    </xdr:to>
    <xdr:pic>
      <xdr:nvPicPr>
        <xdr:cNvPr id="1559" name="Рисунок 1558">
          <a:extLst>
            <a:ext uri="{FF2B5EF4-FFF2-40B4-BE49-F238E27FC236}">
              <a16:creationId xmlns:a16="http://schemas.microsoft.com/office/drawing/2014/main" xmlns="" id="{00000000-0008-0000-00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0" y="197335588"/>
          <a:ext cx="568272" cy="501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1486</xdr:row>
      <xdr:rowOff>342340</xdr:rowOff>
    </xdr:from>
    <xdr:to>
      <xdr:col>1</xdr:col>
      <xdr:colOff>123264</xdr:colOff>
      <xdr:row>1489</xdr:row>
      <xdr:rowOff>168089</xdr:rowOff>
    </xdr:to>
    <xdr:pic>
      <xdr:nvPicPr>
        <xdr:cNvPr id="1560" name="Рисунок 1559">
          <a:extLst>
            <a:ext uri="{FF2B5EF4-FFF2-40B4-BE49-F238E27FC236}">
              <a16:creationId xmlns:a16="http://schemas.microsoft.com/office/drawing/2014/main" xmlns="" id="{00000000-0008-0000-0000-000018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9" t="5208" r="17644" b="7986"/>
        <a:stretch/>
      </xdr:blipFill>
      <xdr:spPr>
        <a:xfrm>
          <a:off x="0" y="654967575"/>
          <a:ext cx="2543735" cy="1338543"/>
        </a:xfrm>
        <a:prstGeom prst="rect">
          <a:avLst/>
        </a:prstGeom>
      </xdr:spPr>
    </xdr:pic>
    <xdr:clientData/>
  </xdr:twoCellAnchor>
  <xdr:twoCellAnchor>
    <xdr:from>
      <xdr:col>0</xdr:col>
      <xdr:colOff>257175</xdr:colOff>
      <xdr:row>1489</xdr:row>
      <xdr:rowOff>481852</xdr:rowOff>
    </xdr:from>
    <xdr:to>
      <xdr:col>1</xdr:col>
      <xdr:colOff>224117</xdr:colOff>
      <xdr:row>1491</xdr:row>
      <xdr:rowOff>475653</xdr:rowOff>
    </xdr:to>
    <xdr:pic>
      <xdr:nvPicPr>
        <xdr:cNvPr id="1561" name="Рисунок 1560">
          <a:extLst>
            <a:ext uri="{FF2B5EF4-FFF2-40B4-BE49-F238E27FC236}">
              <a16:creationId xmlns:a16="http://schemas.microsoft.com/office/drawing/2014/main" xmlns="" id="{00000000-0008-0000-00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656619881"/>
          <a:ext cx="2387413" cy="1002331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1492</xdr:row>
      <xdr:rowOff>76201</xdr:rowOff>
    </xdr:from>
    <xdr:to>
      <xdr:col>1</xdr:col>
      <xdr:colOff>100853</xdr:colOff>
      <xdr:row>1494</xdr:row>
      <xdr:rowOff>425824</xdr:rowOff>
    </xdr:to>
    <xdr:pic>
      <xdr:nvPicPr>
        <xdr:cNvPr id="1562" name="Рисунок 1561">
          <a:extLst>
            <a:ext uri="{FF2B5EF4-FFF2-40B4-BE49-F238E27FC236}">
              <a16:creationId xmlns:a16="http://schemas.microsoft.com/office/drawing/2014/main" xmlns="" id="{00000000-0008-0000-0000-00001A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30" t="5469" r="15528" b="9766"/>
        <a:stretch/>
      </xdr:blipFill>
      <xdr:spPr>
        <a:xfrm>
          <a:off x="57150" y="657727025"/>
          <a:ext cx="2464174" cy="1358152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1495</xdr:row>
      <xdr:rowOff>392206</xdr:rowOff>
    </xdr:from>
    <xdr:to>
      <xdr:col>1</xdr:col>
      <xdr:colOff>235323</xdr:colOff>
      <xdr:row>1498</xdr:row>
      <xdr:rowOff>37504</xdr:rowOff>
    </xdr:to>
    <xdr:pic>
      <xdr:nvPicPr>
        <xdr:cNvPr id="1563" name="Рисунок 1562">
          <a:extLst>
            <a:ext uri="{FF2B5EF4-FFF2-40B4-BE49-F238E27FC236}">
              <a16:creationId xmlns:a16="http://schemas.microsoft.com/office/drawing/2014/main" xmlns="" id="{00000000-0008-0000-00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659555824"/>
          <a:ext cx="2389094" cy="1158092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1501</xdr:row>
      <xdr:rowOff>247650</xdr:rowOff>
    </xdr:from>
    <xdr:to>
      <xdr:col>1</xdr:col>
      <xdr:colOff>201705</xdr:colOff>
      <xdr:row>1503</xdr:row>
      <xdr:rowOff>190500</xdr:rowOff>
    </xdr:to>
    <xdr:pic>
      <xdr:nvPicPr>
        <xdr:cNvPr id="1564" name="Рисунок 1563">
          <a:extLst>
            <a:ext uri="{FF2B5EF4-FFF2-40B4-BE49-F238E27FC236}">
              <a16:creationId xmlns:a16="http://schemas.microsoft.com/office/drawing/2014/main" xmlns="" id="{00000000-0008-0000-00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662436856"/>
          <a:ext cx="2460251" cy="951379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1499</xdr:row>
      <xdr:rowOff>44824</xdr:rowOff>
    </xdr:from>
    <xdr:to>
      <xdr:col>1</xdr:col>
      <xdr:colOff>123264</xdr:colOff>
      <xdr:row>1501</xdr:row>
      <xdr:rowOff>381001</xdr:rowOff>
    </xdr:to>
    <xdr:pic>
      <xdr:nvPicPr>
        <xdr:cNvPr id="1565" name="Рисунок 1564">
          <a:extLst>
            <a:ext uri="{FF2B5EF4-FFF2-40B4-BE49-F238E27FC236}">
              <a16:creationId xmlns:a16="http://schemas.microsoft.com/office/drawing/2014/main" xmlns="" id="{00000000-0008-0000-0000-00001D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9" t="8202" r="13330" b="12500"/>
        <a:stretch/>
      </xdr:blipFill>
      <xdr:spPr>
        <a:xfrm>
          <a:off x="28575" y="661225500"/>
          <a:ext cx="2515160" cy="1344707"/>
        </a:xfrm>
        <a:prstGeom prst="rect">
          <a:avLst/>
        </a:prstGeom>
      </xdr:spPr>
    </xdr:pic>
    <xdr:clientData/>
  </xdr:twoCellAnchor>
  <xdr:twoCellAnchor>
    <xdr:from>
      <xdr:col>0</xdr:col>
      <xdr:colOff>823779</xdr:colOff>
      <xdr:row>1516</xdr:row>
      <xdr:rowOff>42291</xdr:rowOff>
    </xdr:from>
    <xdr:to>
      <xdr:col>0</xdr:col>
      <xdr:colOff>1633779</xdr:colOff>
      <xdr:row>1517</xdr:row>
      <xdr:rowOff>20876</xdr:rowOff>
    </xdr:to>
    <xdr:pic>
      <xdr:nvPicPr>
        <xdr:cNvPr id="1566" name="Рисунок 1565">
          <a:extLst>
            <a:ext uri="{FF2B5EF4-FFF2-40B4-BE49-F238E27FC236}">
              <a16:creationId xmlns:a16="http://schemas.microsoft.com/office/drawing/2014/main" xmlns="" id="{00000000-0008-0000-00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9" y="669795467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815496</xdr:colOff>
      <xdr:row>1522</xdr:row>
      <xdr:rowOff>42291</xdr:rowOff>
    </xdr:from>
    <xdr:to>
      <xdr:col>0</xdr:col>
      <xdr:colOff>1625496</xdr:colOff>
      <xdr:row>1523</xdr:row>
      <xdr:rowOff>20877</xdr:rowOff>
    </xdr:to>
    <xdr:pic>
      <xdr:nvPicPr>
        <xdr:cNvPr id="1567" name="Рисунок 1566">
          <a:extLst>
            <a:ext uri="{FF2B5EF4-FFF2-40B4-BE49-F238E27FC236}">
              <a16:creationId xmlns:a16="http://schemas.microsoft.com/office/drawing/2014/main" xmlns="" id="{00000000-0008-0000-00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496" y="672821056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823779</xdr:colOff>
      <xdr:row>1528</xdr:row>
      <xdr:rowOff>42291</xdr:rowOff>
    </xdr:from>
    <xdr:to>
      <xdr:col>0</xdr:col>
      <xdr:colOff>1633779</xdr:colOff>
      <xdr:row>1529</xdr:row>
      <xdr:rowOff>20876</xdr:rowOff>
    </xdr:to>
    <xdr:pic>
      <xdr:nvPicPr>
        <xdr:cNvPr id="1568" name="Рисунок 1567">
          <a:extLst>
            <a:ext uri="{FF2B5EF4-FFF2-40B4-BE49-F238E27FC236}">
              <a16:creationId xmlns:a16="http://schemas.microsoft.com/office/drawing/2014/main" xmlns="" id="{00000000-0008-0000-00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9" y="675846644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823779</xdr:colOff>
      <xdr:row>1534</xdr:row>
      <xdr:rowOff>42291</xdr:rowOff>
    </xdr:from>
    <xdr:to>
      <xdr:col>0</xdr:col>
      <xdr:colOff>1633779</xdr:colOff>
      <xdr:row>1535</xdr:row>
      <xdr:rowOff>20876</xdr:rowOff>
    </xdr:to>
    <xdr:pic>
      <xdr:nvPicPr>
        <xdr:cNvPr id="1569" name="Рисунок 1568">
          <a:extLst>
            <a:ext uri="{FF2B5EF4-FFF2-40B4-BE49-F238E27FC236}">
              <a16:creationId xmlns:a16="http://schemas.microsoft.com/office/drawing/2014/main" xmlns="" id="{00000000-0008-0000-00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9" y="678872232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1517</xdr:row>
      <xdr:rowOff>44824</xdr:rowOff>
    </xdr:from>
    <xdr:to>
      <xdr:col>0</xdr:col>
      <xdr:colOff>1628030</xdr:colOff>
      <xdr:row>1518</xdr:row>
      <xdr:rowOff>23409</xdr:rowOff>
    </xdr:to>
    <xdr:pic>
      <xdr:nvPicPr>
        <xdr:cNvPr id="1570" name="Рисунок 1569">
          <a:extLst>
            <a:ext uri="{FF2B5EF4-FFF2-40B4-BE49-F238E27FC236}">
              <a16:creationId xmlns:a16="http://schemas.microsoft.com/office/drawing/2014/main" xmlns="" id="{00000000-0008-0000-00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70302265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1518</xdr:row>
      <xdr:rowOff>44824</xdr:rowOff>
    </xdr:from>
    <xdr:to>
      <xdr:col>0</xdr:col>
      <xdr:colOff>1628030</xdr:colOff>
      <xdr:row>1519</xdr:row>
      <xdr:rowOff>23409</xdr:rowOff>
    </xdr:to>
    <xdr:pic>
      <xdr:nvPicPr>
        <xdr:cNvPr id="1571" name="Рисунок 1570">
          <a:extLst>
            <a:ext uri="{FF2B5EF4-FFF2-40B4-BE49-F238E27FC236}">
              <a16:creationId xmlns:a16="http://schemas.microsoft.com/office/drawing/2014/main" xmlns="" id="{00000000-0008-0000-00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70806530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1519</xdr:row>
      <xdr:rowOff>44824</xdr:rowOff>
    </xdr:from>
    <xdr:to>
      <xdr:col>0</xdr:col>
      <xdr:colOff>1628030</xdr:colOff>
      <xdr:row>1520</xdr:row>
      <xdr:rowOff>23410</xdr:rowOff>
    </xdr:to>
    <xdr:pic>
      <xdr:nvPicPr>
        <xdr:cNvPr id="1572" name="Рисунок 1571">
          <a:extLst>
            <a:ext uri="{FF2B5EF4-FFF2-40B4-BE49-F238E27FC236}">
              <a16:creationId xmlns:a16="http://schemas.microsoft.com/office/drawing/2014/main" xmlns="" id="{00000000-0008-0000-00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71310795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1523</xdr:row>
      <xdr:rowOff>44824</xdr:rowOff>
    </xdr:from>
    <xdr:to>
      <xdr:col>0</xdr:col>
      <xdr:colOff>1628030</xdr:colOff>
      <xdr:row>1524</xdr:row>
      <xdr:rowOff>23409</xdr:rowOff>
    </xdr:to>
    <xdr:pic>
      <xdr:nvPicPr>
        <xdr:cNvPr id="1573" name="Рисунок 1572">
          <a:extLst>
            <a:ext uri="{FF2B5EF4-FFF2-40B4-BE49-F238E27FC236}">
              <a16:creationId xmlns:a16="http://schemas.microsoft.com/office/drawing/2014/main" xmlns="" id="{00000000-0008-0000-00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73327853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1524</xdr:row>
      <xdr:rowOff>44824</xdr:rowOff>
    </xdr:from>
    <xdr:to>
      <xdr:col>0</xdr:col>
      <xdr:colOff>1628030</xdr:colOff>
      <xdr:row>1525</xdr:row>
      <xdr:rowOff>23409</xdr:rowOff>
    </xdr:to>
    <xdr:pic>
      <xdr:nvPicPr>
        <xdr:cNvPr id="1574" name="Рисунок 1573">
          <a:extLst>
            <a:ext uri="{FF2B5EF4-FFF2-40B4-BE49-F238E27FC236}">
              <a16:creationId xmlns:a16="http://schemas.microsoft.com/office/drawing/2014/main" xmlns="" id="{00000000-0008-0000-00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73832118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1525</xdr:row>
      <xdr:rowOff>44824</xdr:rowOff>
    </xdr:from>
    <xdr:to>
      <xdr:col>0</xdr:col>
      <xdr:colOff>1628030</xdr:colOff>
      <xdr:row>1526</xdr:row>
      <xdr:rowOff>23409</xdr:rowOff>
    </xdr:to>
    <xdr:pic>
      <xdr:nvPicPr>
        <xdr:cNvPr id="1575" name="Рисунок 1574">
          <a:extLst>
            <a:ext uri="{FF2B5EF4-FFF2-40B4-BE49-F238E27FC236}">
              <a16:creationId xmlns:a16="http://schemas.microsoft.com/office/drawing/2014/main" xmlns="" id="{00000000-0008-0000-00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74336383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1529</xdr:row>
      <xdr:rowOff>44824</xdr:rowOff>
    </xdr:from>
    <xdr:to>
      <xdr:col>0</xdr:col>
      <xdr:colOff>1628030</xdr:colOff>
      <xdr:row>1530</xdr:row>
      <xdr:rowOff>23410</xdr:rowOff>
    </xdr:to>
    <xdr:pic>
      <xdr:nvPicPr>
        <xdr:cNvPr id="1576" name="Рисунок 1575">
          <a:extLst>
            <a:ext uri="{FF2B5EF4-FFF2-40B4-BE49-F238E27FC236}">
              <a16:creationId xmlns:a16="http://schemas.microsoft.com/office/drawing/2014/main" xmlns="" id="{00000000-0008-0000-00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76353442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1530</xdr:row>
      <xdr:rowOff>44824</xdr:rowOff>
    </xdr:from>
    <xdr:to>
      <xdr:col>0</xdr:col>
      <xdr:colOff>1628030</xdr:colOff>
      <xdr:row>1531</xdr:row>
      <xdr:rowOff>23409</xdr:rowOff>
    </xdr:to>
    <xdr:pic>
      <xdr:nvPicPr>
        <xdr:cNvPr id="1577" name="Рисунок 1576">
          <a:extLst>
            <a:ext uri="{FF2B5EF4-FFF2-40B4-BE49-F238E27FC236}">
              <a16:creationId xmlns:a16="http://schemas.microsoft.com/office/drawing/2014/main" xmlns="" id="{00000000-0008-0000-00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76857706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1531</xdr:row>
      <xdr:rowOff>44824</xdr:rowOff>
    </xdr:from>
    <xdr:to>
      <xdr:col>0</xdr:col>
      <xdr:colOff>1628030</xdr:colOff>
      <xdr:row>1532</xdr:row>
      <xdr:rowOff>23409</xdr:rowOff>
    </xdr:to>
    <xdr:pic>
      <xdr:nvPicPr>
        <xdr:cNvPr id="1578" name="Рисунок 1577">
          <a:extLst>
            <a:ext uri="{FF2B5EF4-FFF2-40B4-BE49-F238E27FC236}">
              <a16:creationId xmlns:a16="http://schemas.microsoft.com/office/drawing/2014/main" xmlns="" id="{00000000-0008-0000-00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77361971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823779</xdr:colOff>
      <xdr:row>1535</xdr:row>
      <xdr:rowOff>42291</xdr:rowOff>
    </xdr:from>
    <xdr:to>
      <xdr:col>0</xdr:col>
      <xdr:colOff>1633779</xdr:colOff>
      <xdr:row>1536</xdr:row>
      <xdr:rowOff>20876</xdr:rowOff>
    </xdr:to>
    <xdr:pic>
      <xdr:nvPicPr>
        <xdr:cNvPr id="1579" name="Рисунок 1578">
          <a:extLst>
            <a:ext uri="{FF2B5EF4-FFF2-40B4-BE49-F238E27FC236}">
              <a16:creationId xmlns:a16="http://schemas.microsoft.com/office/drawing/2014/main" xmlns="" id="{00000000-0008-0000-00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9" y="679376497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823779</xdr:colOff>
      <xdr:row>1536</xdr:row>
      <xdr:rowOff>42291</xdr:rowOff>
    </xdr:from>
    <xdr:to>
      <xdr:col>0</xdr:col>
      <xdr:colOff>1633779</xdr:colOff>
      <xdr:row>1537</xdr:row>
      <xdr:rowOff>20877</xdr:rowOff>
    </xdr:to>
    <xdr:pic>
      <xdr:nvPicPr>
        <xdr:cNvPr id="1580" name="Рисунок 1579">
          <a:extLst>
            <a:ext uri="{FF2B5EF4-FFF2-40B4-BE49-F238E27FC236}">
              <a16:creationId xmlns:a16="http://schemas.microsoft.com/office/drawing/2014/main" xmlns="" id="{00000000-0008-0000-00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9" y="679880762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823779</xdr:colOff>
      <xdr:row>1537</xdr:row>
      <xdr:rowOff>42291</xdr:rowOff>
    </xdr:from>
    <xdr:to>
      <xdr:col>0</xdr:col>
      <xdr:colOff>1633779</xdr:colOff>
      <xdr:row>1538</xdr:row>
      <xdr:rowOff>20876</xdr:rowOff>
    </xdr:to>
    <xdr:pic>
      <xdr:nvPicPr>
        <xdr:cNvPr id="1581" name="Рисунок 1580">
          <a:extLst>
            <a:ext uri="{FF2B5EF4-FFF2-40B4-BE49-F238E27FC236}">
              <a16:creationId xmlns:a16="http://schemas.microsoft.com/office/drawing/2014/main" xmlns="" id="{00000000-0008-0000-00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9" y="680385026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823779</xdr:colOff>
      <xdr:row>1532</xdr:row>
      <xdr:rowOff>42291</xdr:rowOff>
    </xdr:from>
    <xdr:to>
      <xdr:col>0</xdr:col>
      <xdr:colOff>1633779</xdr:colOff>
      <xdr:row>1533</xdr:row>
      <xdr:rowOff>20877</xdr:rowOff>
    </xdr:to>
    <xdr:pic>
      <xdr:nvPicPr>
        <xdr:cNvPr id="1582" name="Рисунок 1581">
          <a:extLst>
            <a:ext uri="{FF2B5EF4-FFF2-40B4-BE49-F238E27FC236}">
              <a16:creationId xmlns:a16="http://schemas.microsoft.com/office/drawing/2014/main" xmlns="" id="{00000000-0008-0000-00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9" y="677863703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823779</xdr:colOff>
      <xdr:row>1526</xdr:row>
      <xdr:rowOff>42291</xdr:rowOff>
    </xdr:from>
    <xdr:to>
      <xdr:col>0</xdr:col>
      <xdr:colOff>1633779</xdr:colOff>
      <xdr:row>1527</xdr:row>
      <xdr:rowOff>20877</xdr:rowOff>
    </xdr:to>
    <xdr:pic>
      <xdr:nvPicPr>
        <xdr:cNvPr id="1583" name="Рисунок 1582">
          <a:extLst>
            <a:ext uri="{FF2B5EF4-FFF2-40B4-BE49-F238E27FC236}">
              <a16:creationId xmlns:a16="http://schemas.microsoft.com/office/drawing/2014/main" xmlns="" id="{00000000-0008-0000-00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9" y="674838115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815496</xdr:colOff>
      <xdr:row>1520</xdr:row>
      <xdr:rowOff>42291</xdr:rowOff>
    </xdr:from>
    <xdr:to>
      <xdr:col>0</xdr:col>
      <xdr:colOff>1625496</xdr:colOff>
      <xdr:row>1521</xdr:row>
      <xdr:rowOff>20876</xdr:rowOff>
    </xdr:to>
    <xdr:pic>
      <xdr:nvPicPr>
        <xdr:cNvPr id="1584" name="Рисунок 1583">
          <a:extLst>
            <a:ext uri="{FF2B5EF4-FFF2-40B4-BE49-F238E27FC236}">
              <a16:creationId xmlns:a16="http://schemas.microsoft.com/office/drawing/2014/main" xmlns="" id="{00000000-0008-0000-00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496" y="671812526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818031</xdr:colOff>
      <xdr:row>1514</xdr:row>
      <xdr:rowOff>34241</xdr:rowOff>
    </xdr:from>
    <xdr:to>
      <xdr:col>0</xdr:col>
      <xdr:colOff>1628031</xdr:colOff>
      <xdr:row>1515</xdr:row>
      <xdr:rowOff>12826</xdr:rowOff>
    </xdr:to>
    <xdr:pic>
      <xdr:nvPicPr>
        <xdr:cNvPr id="1585" name="Рисунок 1584">
          <a:extLst>
            <a:ext uri="{FF2B5EF4-FFF2-40B4-BE49-F238E27FC236}">
              <a16:creationId xmlns:a16="http://schemas.microsoft.com/office/drawing/2014/main" xmlns="" id="{00000000-0008-0000-00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1" y="668778888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823779</xdr:colOff>
      <xdr:row>1515</xdr:row>
      <xdr:rowOff>42291</xdr:rowOff>
    </xdr:from>
    <xdr:to>
      <xdr:col>0</xdr:col>
      <xdr:colOff>1633779</xdr:colOff>
      <xdr:row>1516</xdr:row>
      <xdr:rowOff>20877</xdr:rowOff>
    </xdr:to>
    <xdr:pic>
      <xdr:nvPicPr>
        <xdr:cNvPr id="1586" name="Рисунок 1585">
          <a:extLst>
            <a:ext uri="{FF2B5EF4-FFF2-40B4-BE49-F238E27FC236}">
              <a16:creationId xmlns:a16="http://schemas.microsoft.com/office/drawing/2014/main" xmlns="" id="{00000000-0008-0000-00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9" y="669291203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815496</xdr:colOff>
      <xdr:row>1521</xdr:row>
      <xdr:rowOff>42291</xdr:rowOff>
    </xdr:from>
    <xdr:to>
      <xdr:col>0</xdr:col>
      <xdr:colOff>1625496</xdr:colOff>
      <xdr:row>1522</xdr:row>
      <xdr:rowOff>20876</xdr:rowOff>
    </xdr:to>
    <xdr:pic>
      <xdr:nvPicPr>
        <xdr:cNvPr id="1587" name="Рисунок 1586">
          <a:extLst>
            <a:ext uri="{FF2B5EF4-FFF2-40B4-BE49-F238E27FC236}">
              <a16:creationId xmlns:a16="http://schemas.microsoft.com/office/drawing/2014/main" xmlns="" id="{00000000-0008-0000-00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496" y="672316791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823779</xdr:colOff>
      <xdr:row>1527</xdr:row>
      <xdr:rowOff>42291</xdr:rowOff>
    </xdr:from>
    <xdr:to>
      <xdr:col>0</xdr:col>
      <xdr:colOff>1633779</xdr:colOff>
      <xdr:row>1528</xdr:row>
      <xdr:rowOff>20876</xdr:rowOff>
    </xdr:to>
    <xdr:pic>
      <xdr:nvPicPr>
        <xdr:cNvPr id="1588" name="Рисунок 1587">
          <a:extLst>
            <a:ext uri="{FF2B5EF4-FFF2-40B4-BE49-F238E27FC236}">
              <a16:creationId xmlns:a16="http://schemas.microsoft.com/office/drawing/2014/main" xmlns="" id="{00000000-0008-0000-00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9" y="675342379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823779</xdr:colOff>
      <xdr:row>1533</xdr:row>
      <xdr:rowOff>42291</xdr:rowOff>
    </xdr:from>
    <xdr:to>
      <xdr:col>0</xdr:col>
      <xdr:colOff>1633779</xdr:colOff>
      <xdr:row>1534</xdr:row>
      <xdr:rowOff>20876</xdr:rowOff>
    </xdr:to>
    <xdr:pic>
      <xdr:nvPicPr>
        <xdr:cNvPr id="1589" name="Рисунок 1588">
          <a:extLst>
            <a:ext uri="{FF2B5EF4-FFF2-40B4-BE49-F238E27FC236}">
              <a16:creationId xmlns:a16="http://schemas.microsoft.com/office/drawing/2014/main" xmlns="" id="{00000000-0008-0000-00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779" y="678367967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871818</xdr:colOff>
      <xdr:row>1509</xdr:row>
      <xdr:rowOff>89088</xdr:rowOff>
    </xdr:from>
    <xdr:to>
      <xdr:col>0</xdr:col>
      <xdr:colOff>1605244</xdr:colOff>
      <xdr:row>1509</xdr:row>
      <xdr:rowOff>435902</xdr:rowOff>
    </xdr:to>
    <xdr:pic>
      <xdr:nvPicPr>
        <xdr:cNvPr id="1590" name="Рисунок 1589">
          <a:extLst>
            <a:ext uri="{FF2B5EF4-FFF2-40B4-BE49-F238E27FC236}">
              <a16:creationId xmlns:a16="http://schemas.microsoft.com/office/drawing/2014/main" xmlns="" id="{00000000-0008-0000-0000-000036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0" t="20563" r="16342" b="26437"/>
        <a:stretch/>
      </xdr:blipFill>
      <xdr:spPr>
        <a:xfrm>
          <a:off x="871818" y="666312412"/>
          <a:ext cx="733426" cy="346814"/>
        </a:xfrm>
        <a:prstGeom prst="rect">
          <a:avLst/>
        </a:prstGeom>
      </xdr:spPr>
    </xdr:pic>
    <xdr:clientData/>
  </xdr:twoCellAnchor>
  <xdr:twoCellAnchor>
    <xdr:from>
      <xdr:col>0</xdr:col>
      <xdr:colOff>852768</xdr:colOff>
      <xdr:row>1510</xdr:row>
      <xdr:rowOff>117662</xdr:rowOff>
    </xdr:from>
    <xdr:to>
      <xdr:col>0</xdr:col>
      <xdr:colOff>1586194</xdr:colOff>
      <xdr:row>1510</xdr:row>
      <xdr:rowOff>464476</xdr:rowOff>
    </xdr:to>
    <xdr:pic>
      <xdr:nvPicPr>
        <xdr:cNvPr id="1591" name="Рисунок 1590">
          <a:extLst>
            <a:ext uri="{FF2B5EF4-FFF2-40B4-BE49-F238E27FC236}">
              <a16:creationId xmlns:a16="http://schemas.microsoft.com/office/drawing/2014/main" xmlns="" id="{00000000-0008-0000-0000-000037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0" t="20563" r="16342" b="26437"/>
        <a:stretch/>
      </xdr:blipFill>
      <xdr:spPr>
        <a:xfrm>
          <a:off x="852768" y="666845250"/>
          <a:ext cx="733426" cy="346814"/>
        </a:xfrm>
        <a:prstGeom prst="rect">
          <a:avLst/>
        </a:prstGeom>
      </xdr:spPr>
    </xdr:pic>
    <xdr:clientData/>
  </xdr:twoCellAnchor>
  <xdr:twoCellAnchor>
    <xdr:from>
      <xdr:col>0</xdr:col>
      <xdr:colOff>852768</xdr:colOff>
      <xdr:row>1511</xdr:row>
      <xdr:rowOff>117662</xdr:rowOff>
    </xdr:from>
    <xdr:to>
      <xdr:col>0</xdr:col>
      <xdr:colOff>1586194</xdr:colOff>
      <xdr:row>1511</xdr:row>
      <xdr:rowOff>464476</xdr:rowOff>
    </xdr:to>
    <xdr:pic>
      <xdr:nvPicPr>
        <xdr:cNvPr id="1592" name="Рисунок 1591">
          <a:extLst>
            <a:ext uri="{FF2B5EF4-FFF2-40B4-BE49-F238E27FC236}">
              <a16:creationId xmlns:a16="http://schemas.microsoft.com/office/drawing/2014/main" xmlns="" id="{00000000-0008-0000-0000-000038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0" t="20563" r="16342" b="26437"/>
        <a:stretch/>
      </xdr:blipFill>
      <xdr:spPr>
        <a:xfrm>
          <a:off x="852768" y="667349515"/>
          <a:ext cx="733426" cy="346814"/>
        </a:xfrm>
        <a:prstGeom prst="rect">
          <a:avLst/>
        </a:prstGeom>
      </xdr:spPr>
    </xdr:pic>
    <xdr:clientData/>
  </xdr:twoCellAnchor>
  <xdr:twoCellAnchor>
    <xdr:from>
      <xdr:col>0</xdr:col>
      <xdr:colOff>852768</xdr:colOff>
      <xdr:row>1512</xdr:row>
      <xdr:rowOff>117662</xdr:rowOff>
    </xdr:from>
    <xdr:to>
      <xdr:col>0</xdr:col>
      <xdr:colOff>1586194</xdr:colOff>
      <xdr:row>1512</xdr:row>
      <xdr:rowOff>464476</xdr:rowOff>
    </xdr:to>
    <xdr:pic>
      <xdr:nvPicPr>
        <xdr:cNvPr id="1593" name="Рисунок 1592">
          <a:extLst>
            <a:ext uri="{FF2B5EF4-FFF2-40B4-BE49-F238E27FC236}">
              <a16:creationId xmlns:a16="http://schemas.microsoft.com/office/drawing/2014/main" xmlns="" id="{00000000-0008-0000-0000-000039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0" t="20563" r="16342" b="26437"/>
        <a:stretch/>
      </xdr:blipFill>
      <xdr:spPr>
        <a:xfrm>
          <a:off x="852768" y="667853780"/>
          <a:ext cx="733426" cy="346814"/>
        </a:xfrm>
        <a:prstGeom prst="rect">
          <a:avLst/>
        </a:prstGeom>
      </xdr:spPr>
    </xdr:pic>
    <xdr:clientData/>
  </xdr:twoCellAnchor>
  <xdr:twoCellAnchor>
    <xdr:from>
      <xdr:col>0</xdr:col>
      <xdr:colOff>852768</xdr:colOff>
      <xdr:row>1513</xdr:row>
      <xdr:rowOff>117662</xdr:rowOff>
    </xdr:from>
    <xdr:to>
      <xdr:col>0</xdr:col>
      <xdr:colOff>1586194</xdr:colOff>
      <xdr:row>1513</xdr:row>
      <xdr:rowOff>464476</xdr:rowOff>
    </xdr:to>
    <xdr:pic>
      <xdr:nvPicPr>
        <xdr:cNvPr id="1594" name="Рисунок 1593">
          <a:extLst>
            <a:ext uri="{FF2B5EF4-FFF2-40B4-BE49-F238E27FC236}">
              <a16:creationId xmlns:a16="http://schemas.microsoft.com/office/drawing/2014/main" xmlns="" id="{00000000-0008-0000-0000-00003A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70" t="20563" r="16342" b="26437"/>
        <a:stretch/>
      </xdr:blipFill>
      <xdr:spPr>
        <a:xfrm>
          <a:off x="852768" y="668358044"/>
          <a:ext cx="733426" cy="346814"/>
        </a:xfrm>
        <a:prstGeom prst="rect">
          <a:avLst/>
        </a:prstGeom>
      </xdr:spPr>
    </xdr:pic>
    <xdr:clientData/>
  </xdr:twoCellAnchor>
  <xdr:twoCellAnchor>
    <xdr:from>
      <xdr:col>0</xdr:col>
      <xdr:colOff>852768</xdr:colOff>
      <xdr:row>1504</xdr:row>
      <xdr:rowOff>127187</xdr:rowOff>
    </xdr:from>
    <xdr:to>
      <xdr:col>0</xdr:col>
      <xdr:colOff>1595720</xdr:colOff>
      <xdr:row>1504</xdr:row>
      <xdr:rowOff>498663</xdr:rowOff>
    </xdr:to>
    <xdr:pic>
      <xdr:nvPicPr>
        <xdr:cNvPr id="1595" name="Рисунок 1594">
          <a:extLst>
            <a:ext uri="{FF2B5EF4-FFF2-40B4-BE49-F238E27FC236}">
              <a16:creationId xmlns:a16="http://schemas.microsoft.com/office/drawing/2014/main" xmlns="" id="{00000000-0008-0000-0000-00003B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4" t="29082" r="11377" b="29215"/>
        <a:stretch/>
      </xdr:blipFill>
      <xdr:spPr>
        <a:xfrm>
          <a:off x="852768" y="663829187"/>
          <a:ext cx="742952" cy="371476"/>
        </a:xfrm>
        <a:prstGeom prst="rect">
          <a:avLst/>
        </a:prstGeom>
      </xdr:spPr>
    </xdr:pic>
    <xdr:clientData/>
  </xdr:twoCellAnchor>
  <xdr:twoCellAnchor>
    <xdr:from>
      <xdr:col>0</xdr:col>
      <xdr:colOff>833718</xdr:colOff>
      <xdr:row>1505</xdr:row>
      <xdr:rowOff>70037</xdr:rowOff>
    </xdr:from>
    <xdr:to>
      <xdr:col>0</xdr:col>
      <xdr:colOff>1576670</xdr:colOff>
      <xdr:row>1505</xdr:row>
      <xdr:rowOff>441513</xdr:rowOff>
    </xdr:to>
    <xdr:pic>
      <xdr:nvPicPr>
        <xdr:cNvPr id="1596" name="Рисунок 1595">
          <a:extLst>
            <a:ext uri="{FF2B5EF4-FFF2-40B4-BE49-F238E27FC236}">
              <a16:creationId xmlns:a16="http://schemas.microsoft.com/office/drawing/2014/main" xmlns="" id="{00000000-0008-0000-0000-00003C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4" t="29082" r="11377" b="29215"/>
        <a:stretch/>
      </xdr:blipFill>
      <xdr:spPr>
        <a:xfrm>
          <a:off x="833718" y="664276302"/>
          <a:ext cx="742952" cy="371476"/>
        </a:xfrm>
        <a:prstGeom prst="rect">
          <a:avLst/>
        </a:prstGeom>
      </xdr:spPr>
    </xdr:pic>
    <xdr:clientData/>
  </xdr:twoCellAnchor>
  <xdr:twoCellAnchor>
    <xdr:from>
      <xdr:col>0</xdr:col>
      <xdr:colOff>833718</xdr:colOff>
      <xdr:row>1506</xdr:row>
      <xdr:rowOff>70037</xdr:rowOff>
    </xdr:from>
    <xdr:to>
      <xdr:col>0</xdr:col>
      <xdr:colOff>1576670</xdr:colOff>
      <xdr:row>1506</xdr:row>
      <xdr:rowOff>441513</xdr:rowOff>
    </xdr:to>
    <xdr:pic>
      <xdr:nvPicPr>
        <xdr:cNvPr id="1597" name="Рисунок 1596">
          <a:extLst>
            <a:ext uri="{FF2B5EF4-FFF2-40B4-BE49-F238E27FC236}">
              <a16:creationId xmlns:a16="http://schemas.microsoft.com/office/drawing/2014/main" xmlns="" id="{00000000-0008-0000-0000-00003D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4" t="29082" r="11377" b="29215"/>
        <a:stretch/>
      </xdr:blipFill>
      <xdr:spPr>
        <a:xfrm>
          <a:off x="833718" y="664780566"/>
          <a:ext cx="742952" cy="371476"/>
        </a:xfrm>
        <a:prstGeom prst="rect">
          <a:avLst/>
        </a:prstGeom>
      </xdr:spPr>
    </xdr:pic>
    <xdr:clientData/>
  </xdr:twoCellAnchor>
  <xdr:twoCellAnchor>
    <xdr:from>
      <xdr:col>0</xdr:col>
      <xdr:colOff>833718</xdr:colOff>
      <xdr:row>1507</xdr:row>
      <xdr:rowOff>70037</xdr:rowOff>
    </xdr:from>
    <xdr:to>
      <xdr:col>0</xdr:col>
      <xdr:colOff>1576670</xdr:colOff>
      <xdr:row>1507</xdr:row>
      <xdr:rowOff>441513</xdr:rowOff>
    </xdr:to>
    <xdr:pic>
      <xdr:nvPicPr>
        <xdr:cNvPr id="1598" name="Рисунок 1597">
          <a:extLst>
            <a:ext uri="{FF2B5EF4-FFF2-40B4-BE49-F238E27FC236}">
              <a16:creationId xmlns:a16="http://schemas.microsoft.com/office/drawing/2014/main" xmlns="" id="{00000000-0008-0000-0000-00003E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4" t="29082" r="11377" b="29215"/>
        <a:stretch/>
      </xdr:blipFill>
      <xdr:spPr>
        <a:xfrm>
          <a:off x="833718" y="665284831"/>
          <a:ext cx="742952" cy="371476"/>
        </a:xfrm>
        <a:prstGeom prst="rect">
          <a:avLst/>
        </a:prstGeom>
      </xdr:spPr>
    </xdr:pic>
    <xdr:clientData/>
  </xdr:twoCellAnchor>
  <xdr:twoCellAnchor>
    <xdr:from>
      <xdr:col>0</xdr:col>
      <xdr:colOff>833718</xdr:colOff>
      <xdr:row>1508</xdr:row>
      <xdr:rowOff>70037</xdr:rowOff>
    </xdr:from>
    <xdr:to>
      <xdr:col>0</xdr:col>
      <xdr:colOff>1576670</xdr:colOff>
      <xdr:row>1508</xdr:row>
      <xdr:rowOff>441513</xdr:rowOff>
    </xdr:to>
    <xdr:pic>
      <xdr:nvPicPr>
        <xdr:cNvPr id="1599" name="Рисунок 1598">
          <a:extLst>
            <a:ext uri="{FF2B5EF4-FFF2-40B4-BE49-F238E27FC236}">
              <a16:creationId xmlns:a16="http://schemas.microsoft.com/office/drawing/2014/main" xmlns="" id="{00000000-0008-0000-0000-00003F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04" t="29082" r="11377" b="29215"/>
        <a:stretch/>
      </xdr:blipFill>
      <xdr:spPr>
        <a:xfrm>
          <a:off x="833718" y="665789096"/>
          <a:ext cx="742952" cy="371476"/>
        </a:xfrm>
        <a:prstGeom prst="rect">
          <a:avLst/>
        </a:prstGeom>
      </xdr:spPr>
    </xdr:pic>
    <xdr:clientData/>
  </xdr:twoCellAnchor>
  <xdr:twoCellAnchor>
    <xdr:from>
      <xdr:col>0</xdr:col>
      <xdr:colOff>829236</xdr:colOff>
      <xdr:row>1538</xdr:row>
      <xdr:rowOff>44824</xdr:rowOff>
    </xdr:from>
    <xdr:to>
      <xdr:col>0</xdr:col>
      <xdr:colOff>1639236</xdr:colOff>
      <xdr:row>1539</xdr:row>
      <xdr:rowOff>23409</xdr:rowOff>
    </xdr:to>
    <xdr:pic>
      <xdr:nvPicPr>
        <xdr:cNvPr id="1600" name="Рисунок 1599">
          <a:extLst>
            <a:ext uri="{FF2B5EF4-FFF2-40B4-BE49-F238E27FC236}">
              <a16:creationId xmlns:a16="http://schemas.microsoft.com/office/drawing/2014/main" xmlns="" id="{00000000-0008-0000-00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36" y="680891824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829236</xdr:colOff>
      <xdr:row>1543</xdr:row>
      <xdr:rowOff>44824</xdr:rowOff>
    </xdr:from>
    <xdr:to>
      <xdr:col>0</xdr:col>
      <xdr:colOff>1639236</xdr:colOff>
      <xdr:row>1544</xdr:row>
      <xdr:rowOff>23410</xdr:rowOff>
    </xdr:to>
    <xdr:pic>
      <xdr:nvPicPr>
        <xdr:cNvPr id="1601" name="Рисунок 1600">
          <a:extLst>
            <a:ext uri="{FF2B5EF4-FFF2-40B4-BE49-F238E27FC236}">
              <a16:creationId xmlns:a16="http://schemas.microsoft.com/office/drawing/2014/main" xmlns="" id="{00000000-0008-0000-00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36" y="683413148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795618</xdr:colOff>
      <xdr:row>1539</xdr:row>
      <xdr:rowOff>22412</xdr:rowOff>
    </xdr:from>
    <xdr:to>
      <xdr:col>0</xdr:col>
      <xdr:colOff>1605618</xdr:colOff>
      <xdr:row>1540</xdr:row>
      <xdr:rowOff>20048</xdr:rowOff>
    </xdr:to>
    <xdr:pic>
      <xdr:nvPicPr>
        <xdr:cNvPr id="1602" name="Рисунок 1601">
          <a:extLst>
            <a:ext uri="{FF2B5EF4-FFF2-40B4-BE49-F238E27FC236}">
              <a16:creationId xmlns:a16="http://schemas.microsoft.com/office/drawing/2014/main" xmlns="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681373677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795618</xdr:colOff>
      <xdr:row>1540</xdr:row>
      <xdr:rowOff>22412</xdr:rowOff>
    </xdr:from>
    <xdr:to>
      <xdr:col>0</xdr:col>
      <xdr:colOff>1605618</xdr:colOff>
      <xdr:row>1541</xdr:row>
      <xdr:rowOff>20047</xdr:rowOff>
    </xdr:to>
    <xdr:pic>
      <xdr:nvPicPr>
        <xdr:cNvPr id="1603" name="Рисунок 1602">
          <a:extLst>
            <a:ext uri="{FF2B5EF4-FFF2-40B4-BE49-F238E27FC236}">
              <a16:creationId xmlns:a16="http://schemas.microsoft.com/office/drawing/2014/main" xmlns="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681877941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795618</xdr:colOff>
      <xdr:row>1541</xdr:row>
      <xdr:rowOff>22412</xdr:rowOff>
    </xdr:from>
    <xdr:to>
      <xdr:col>0</xdr:col>
      <xdr:colOff>1605618</xdr:colOff>
      <xdr:row>1542</xdr:row>
      <xdr:rowOff>20047</xdr:rowOff>
    </xdr:to>
    <xdr:pic>
      <xdr:nvPicPr>
        <xdr:cNvPr id="1604" name="Рисунок 1603">
          <a:extLst>
            <a:ext uri="{FF2B5EF4-FFF2-40B4-BE49-F238E27FC236}">
              <a16:creationId xmlns:a16="http://schemas.microsoft.com/office/drawing/2014/main" xmlns="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682382206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795618</xdr:colOff>
      <xdr:row>1542</xdr:row>
      <xdr:rowOff>22412</xdr:rowOff>
    </xdr:from>
    <xdr:to>
      <xdr:col>0</xdr:col>
      <xdr:colOff>1605618</xdr:colOff>
      <xdr:row>1543</xdr:row>
      <xdr:rowOff>20047</xdr:rowOff>
    </xdr:to>
    <xdr:pic>
      <xdr:nvPicPr>
        <xdr:cNvPr id="1605" name="Рисунок 1604">
          <a:extLst>
            <a:ext uri="{FF2B5EF4-FFF2-40B4-BE49-F238E27FC236}">
              <a16:creationId xmlns:a16="http://schemas.microsoft.com/office/drawing/2014/main" xmlns="" id="{00000000-0008-0000-00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682886471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795618</xdr:colOff>
      <xdr:row>1544</xdr:row>
      <xdr:rowOff>22412</xdr:rowOff>
    </xdr:from>
    <xdr:to>
      <xdr:col>0</xdr:col>
      <xdr:colOff>1605618</xdr:colOff>
      <xdr:row>1545</xdr:row>
      <xdr:rowOff>20047</xdr:rowOff>
    </xdr:to>
    <xdr:pic>
      <xdr:nvPicPr>
        <xdr:cNvPr id="1606" name="Рисунок 1605">
          <a:extLst>
            <a:ext uri="{FF2B5EF4-FFF2-40B4-BE49-F238E27FC236}">
              <a16:creationId xmlns:a16="http://schemas.microsoft.com/office/drawing/2014/main" xmlns="" id="{00000000-0008-0000-00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683895000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795618</xdr:colOff>
      <xdr:row>1545</xdr:row>
      <xdr:rowOff>22412</xdr:rowOff>
    </xdr:from>
    <xdr:to>
      <xdr:col>0</xdr:col>
      <xdr:colOff>1605618</xdr:colOff>
      <xdr:row>1546</xdr:row>
      <xdr:rowOff>20047</xdr:rowOff>
    </xdr:to>
    <xdr:pic>
      <xdr:nvPicPr>
        <xdr:cNvPr id="1607" name="Рисунок 1606">
          <a:extLst>
            <a:ext uri="{FF2B5EF4-FFF2-40B4-BE49-F238E27FC236}">
              <a16:creationId xmlns:a16="http://schemas.microsoft.com/office/drawing/2014/main" xmlns="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684399265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795618</xdr:colOff>
      <xdr:row>1546</xdr:row>
      <xdr:rowOff>22412</xdr:rowOff>
    </xdr:from>
    <xdr:to>
      <xdr:col>0</xdr:col>
      <xdr:colOff>1605618</xdr:colOff>
      <xdr:row>1547</xdr:row>
      <xdr:rowOff>20048</xdr:rowOff>
    </xdr:to>
    <xdr:pic>
      <xdr:nvPicPr>
        <xdr:cNvPr id="1608" name="Рисунок 1607">
          <a:extLst>
            <a:ext uri="{FF2B5EF4-FFF2-40B4-BE49-F238E27FC236}">
              <a16:creationId xmlns:a16="http://schemas.microsoft.com/office/drawing/2014/main" xmlns="" id="{00000000-0008-0000-00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684903530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795618</xdr:colOff>
      <xdr:row>1547</xdr:row>
      <xdr:rowOff>22412</xdr:rowOff>
    </xdr:from>
    <xdr:to>
      <xdr:col>0</xdr:col>
      <xdr:colOff>1605618</xdr:colOff>
      <xdr:row>1548</xdr:row>
      <xdr:rowOff>20047</xdr:rowOff>
    </xdr:to>
    <xdr:pic>
      <xdr:nvPicPr>
        <xdr:cNvPr id="1609" name="Рисунок 1608">
          <a:extLst>
            <a:ext uri="{FF2B5EF4-FFF2-40B4-BE49-F238E27FC236}">
              <a16:creationId xmlns:a16="http://schemas.microsoft.com/office/drawing/2014/main" xmlns="" id="{00000000-0008-0000-00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8" y="685407794"/>
          <a:ext cx="810000" cy="50190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1550</xdr:row>
      <xdr:rowOff>56030</xdr:rowOff>
    </xdr:from>
    <xdr:to>
      <xdr:col>0</xdr:col>
      <xdr:colOff>1560442</xdr:colOff>
      <xdr:row>1551</xdr:row>
      <xdr:rowOff>24530</xdr:rowOff>
    </xdr:to>
    <xdr:pic>
      <xdr:nvPicPr>
        <xdr:cNvPr id="1610" name="Рисунок 1609">
          <a:extLst>
            <a:ext uri="{FF2B5EF4-FFF2-40B4-BE49-F238E27FC236}">
              <a16:creationId xmlns:a16="http://schemas.microsoft.com/office/drawing/2014/main" xmlns="" id="{00000000-0008-0000-00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86954206"/>
          <a:ext cx="720000" cy="472765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1548</xdr:row>
      <xdr:rowOff>44824</xdr:rowOff>
    </xdr:from>
    <xdr:to>
      <xdr:col>0</xdr:col>
      <xdr:colOff>1560442</xdr:colOff>
      <xdr:row>1549</xdr:row>
      <xdr:rowOff>23409</xdr:rowOff>
    </xdr:to>
    <xdr:pic>
      <xdr:nvPicPr>
        <xdr:cNvPr id="1611" name="Рисунок 1610">
          <a:extLst>
            <a:ext uri="{FF2B5EF4-FFF2-40B4-BE49-F238E27FC236}">
              <a16:creationId xmlns:a16="http://schemas.microsoft.com/office/drawing/2014/main" xmlns="" id="{00000000-0008-0000-00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85934471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1549</xdr:row>
      <xdr:rowOff>44824</xdr:rowOff>
    </xdr:from>
    <xdr:to>
      <xdr:col>0</xdr:col>
      <xdr:colOff>1560442</xdr:colOff>
      <xdr:row>1550</xdr:row>
      <xdr:rowOff>23410</xdr:rowOff>
    </xdr:to>
    <xdr:pic>
      <xdr:nvPicPr>
        <xdr:cNvPr id="1612" name="Рисунок 1611">
          <a:extLst>
            <a:ext uri="{FF2B5EF4-FFF2-40B4-BE49-F238E27FC236}">
              <a16:creationId xmlns:a16="http://schemas.microsoft.com/office/drawing/2014/main" xmlns="" id="{00000000-0008-0000-00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86438736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1551</xdr:row>
      <xdr:rowOff>44824</xdr:rowOff>
    </xdr:from>
    <xdr:to>
      <xdr:col>0</xdr:col>
      <xdr:colOff>1560442</xdr:colOff>
      <xdr:row>1552</xdr:row>
      <xdr:rowOff>23409</xdr:rowOff>
    </xdr:to>
    <xdr:pic>
      <xdr:nvPicPr>
        <xdr:cNvPr id="1613" name="Рисунок 1612">
          <a:extLst>
            <a:ext uri="{FF2B5EF4-FFF2-40B4-BE49-F238E27FC236}">
              <a16:creationId xmlns:a16="http://schemas.microsoft.com/office/drawing/2014/main" xmlns="" id="{00000000-0008-0000-00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87447265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1552</xdr:row>
      <xdr:rowOff>44824</xdr:rowOff>
    </xdr:from>
    <xdr:to>
      <xdr:col>0</xdr:col>
      <xdr:colOff>1560442</xdr:colOff>
      <xdr:row>1553</xdr:row>
      <xdr:rowOff>23409</xdr:rowOff>
    </xdr:to>
    <xdr:pic>
      <xdr:nvPicPr>
        <xdr:cNvPr id="1614" name="Рисунок 1613">
          <a:extLst>
            <a:ext uri="{FF2B5EF4-FFF2-40B4-BE49-F238E27FC236}">
              <a16:creationId xmlns:a16="http://schemas.microsoft.com/office/drawing/2014/main" xmlns="" id="{00000000-0008-0000-00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87951530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1553</xdr:row>
      <xdr:rowOff>44824</xdr:rowOff>
    </xdr:from>
    <xdr:to>
      <xdr:col>0</xdr:col>
      <xdr:colOff>1560442</xdr:colOff>
      <xdr:row>1554</xdr:row>
      <xdr:rowOff>23410</xdr:rowOff>
    </xdr:to>
    <xdr:pic>
      <xdr:nvPicPr>
        <xdr:cNvPr id="1615" name="Рисунок 1614">
          <a:extLst>
            <a:ext uri="{FF2B5EF4-FFF2-40B4-BE49-F238E27FC236}">
              <a16:creationId xmlns:a16="http://schemas.microsoft.com/office/drawing/2014/main" xmlns="" id="{00000000-0008-0000-00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88455795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820467</xdr:colOff>
      <xdr:row>1554</xdr:row>
      <xdr:rowOff>38978</xdr:rowOff>
    </xdr:from>
    <xdr:to>
      <xdr:col>0</xdr:col>
      <xdr:colOff>1630467</xdr:colOff>
      <xdr:row>1555</xdr:row>
      <xdr:rowOff>27088</xdr:rowOff>
    </xdr:to>
    <xdr:pic>
      <xdr:nvPicPr>
        <xdr:cNvPr id="1616" name="Рисунок 1615">
          <a:extLst>
            <a:ext uri="{FF2B5EF4-FFF2-40B4-BE49-F238E27FC236}">
              <a16:creationId xmlns:a16="http://schemas.microsoft.com/office/drawing/2014/main" xmlns="" id="{00000000-0008-0000-00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467" y="688954213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820467</xdr:colOff>
      <xdr:row>1555</xdr:row>
      <xdr:rowOff>38978</xdr:rowOff>
    </xdr:from>
    <xdr:to>
      <xdr:col>0</xdr:col>
      <xdr:colOff>1630467</xdr:colOff>
      <xdr:row>1556</xdr:row>
      <xdr:rowOff>27088</xdr:rowOff>
    </xdr:to>
    <xdr:pic>
      <xdr:nvPicPr>
        <xdr:cNvPr id="1617" name="Рисунок 1616">
          <a:extLst>
            <a:ext uri="{FF2B5EF4-FFF2-40B4-BE49-F238E27FC236}">
              <a16:creationId xmlns:a16="http://schemas.microsoft.com/office/drawing/2014/main" xmlns="" id="{00000000-0008-0000-00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467" y="689458478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812184</xdr:colOff>
      <xdr:row>1556</xdr:row>
      <xdr:rowOff>38978</xdr:rowOff>
    </xdr:from>
    <xdr:to>
      <xdr:col>0</xdr:col>
      <xdr:colOff>1622184</xdr:colOff>
      <xdr:row>1557</xdr:row>
      <xdr:rowOff>27089</xdr:rowOff>
    </xdr:to>
    <xdr:pic>
      <xdr:nvPicPr>
        <xdr:cNvPr id="1618" name="Рисунок 1617">
          <a:extLst>
            <a:ext uri="{FF2B5EF4-FFF2-40B4-BE49-F238E27FC236}">
              <a16:creationId xmlns:a16="http://schemas.microsoft.com/office/drawing/2014/main" xmlns="" id="{00000000-0008-0000-00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2184" y="689962743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820467</xdr:colOff>
      <xdr:row>1557</xdr:row>
      <xdr:rowOff>38978</xdr:rowOff>
    </xdr:from>
    <xdr:to>
      <xdr:col>0</xdr:col>
      <xdr:colOff>1630467</xdr:colOff>
      <xdr:row>1558</xdr:row>
      <xdr:rowOff>27088</xdr:rowOff>
    </xdr:to>
    <xdr:pic>
      <xdr:nvPicPr>
        <xdr:cNvPr id="1619" name="Рисунок 1618">
          <a:extLst>
            <a:ext uri="{FF2B5EF4-FFF2-40B4-BE49-F238E27FC236}">
              <a16:creationId xmlns:a16="http://schemas.microsoft.com/office/drawing/2014/main" xmlns="" id="{00000000-0008-0000-00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467" y="690467007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820467</xdr:colOff>
      <xdr:row>1558</xdr:row>
      <xdr:rowOff>38978</xdr:rowOff>
    </xdr:from>
    <xdr:to>
      <xdr:col>0</xdr:col>
      <xdr:colOff>1630467</xdr:colOff>
      <xdr:row>1559</xdr:row>
      <xdr:rowOff>27088</xdr:rowOff>
    </xdr:to>
    <xdr:pic>
      <xdr:nvPicPr>
        <xdr:cNvPr id="1620" name="Рисунок 1619">
          <a:extLst>
            <a:ext uri="{FF2B5EF4-FFF2-40B4-BE49-F238E27FC236}">
              <a16:creationId xmlns:a16="http://schemas.microsoft.com/office/drawing/2014/main" xmlns="" id="{00000000-0008-0000-00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467" y="690971272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840439</xdr:colOff>
      <xdr:row>397</xdr:row>
      <xdr:rowOff>493057</xdr:rowOff>
    </xdr:from>
    <xdr:to>
      <xdr:col>0</xdr:col>
      <xdr:colOff>1535207</xdr:colOff>
      <xdr:row>399</xdr:row>
      <xdr:rowOff>33617</xdr:rowOff>
    </xdr:to>
    <xdr:pic>
      <xdr:nvPicPr>
        <xdr:cNvPr id="1621" name="Рисунок 1620">
          <a:extLst>
            <a:ext uri="{FF2B5EF4-FFF2-40B4-BE49-F238E27FC236}">
              <a16:creationId xmlns:a16="http://schemas.microsoft.com/office/drawing/2014/main" xmlns="" id="{00000000-0008-0000-0000-00005506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7" t="17334" r="15771" b="10157"/>
        <a:stretch/>
      </xdr:blipFill>
      <xdr:spPr>
        <a:xfrm>
          <a:off x="840439" y="5703792"/>
          <a:ext cx="694768" cy="549090"/>
        </a:xfrm>
        <a:prstGeom prst="rect">
          <a:avLst/>
        </a:prstGeom>
      </xdr:spPr>
    </xdr:pic>
    <xdr:clientData/>
  </xdr:twoCellAnchor>
  <xdr:twoCellAnchor>
    <xdr:from>
      <xdr:col>0</xdr:col>
      <xdr:colOff>907679</xdr:colOff>
      <xdr:row>415</xdr:row>
      <xdr:rowOff>44828</xdr:rowOff>
    </xdr:from>
    <xdr:to>
      <xdr:col>0</xdr:col>
      <xdr:colOff>1367119</xdr:colOff>
      <xdr:row>415</xdr:row>
      <xdr:rowOff>454084</xdr:rowOff>
    </xdr:to>
    <xdr:pic>
      <xdr:nvPicPr>
        <xdr:cNvPr id="1623" name="Рисунок 1622">
          <a:extLst>
            <a:ext uri="{FF2B5EF4-FFF2-40B4-BE49-F238E27FC236}">
              <a16:creationId xmlns:a16="http://schemas.microsoft.com/office/drawing/2014/main" xmlns="" id="{00000000-0008-0000-0000-000057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07" t="7566" r="21181" b="6845"/>
        <a:stretch/>
      </xdr:blipFill>
      <xdr:spPr>
        <a:xfrm>
          <a:off x="907679" y="7194181"/>
          <a:ext cx="459440" cy="409256"/>
        </a:xfrm>
        <a:prstGeom prst="rect">
          <a:avLst/>
        </a:prstGeom>
      </xdr:spPr>
    </xdr:pic>
    <xdr:clientData/>
  </xdr:twoCellAnchor>
  <xdr:twoCellAnchor>
    <xdr:from>
      <xdr:col>0</xdr:col>
      <xdr:colOff>874061</xdr:colOff>
      <xdr:row>419</xdr:row>
      <xdr:rowOff>11208</xdr:rowOff>
    </xdr:from>
    <xdr:to>
      <xdr:col>0</xdr:col>
      <xdr:colOff>1333500</xdr:colOff>
      <xdr:row>420</xdr:row>
      <xdr:rowOff>56029</xdr:rowOff>
    </xdr:to>
    <xdr:pic>
      <xdr:nvPicPr>
        <xdr:cNvPr id="1625" name="Рисунок 1624">
          <a:extLst>
            <a:ext uri="{FF2B5EF4-FFF2-40B4-BE49-F238E27FC236}">
              <a16:creationId xmlns:a16="http://schemas.microsoft.com/office/drawing/2014/main" xmlns="" id="{00000000-0008-0000-0000-000059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4" r="32129"/>
        <a:stretch/>
      </xdr:blipFill>
      <xdr:spPr>
        <a:xfrm>
          <a:off x="874061" y="7070914"/>
          <a:ext cx="459439" cy="549086"/>
        </a:xfrm>
        <a:prstGeom prst="rect">
          <a:avLst/>
        </a:prstGeom>
      </xdr:spPr>
    </xdr:pic>
    <xdr:clientData/>
  </xdr:twoCellAnchor>
  <xdr:twoCellAnchor>
    <xdr:from>
      <xdr:col>0</xdr:col>
      <xdr:colOff>549087</xdr:colOff>
      <xdr:row>987</xdr:row>
      <xdr:rowOff>33618</xdr:rowOff>
    </xdr:from>
    <xdr:to>
      <xdr:col>0</xdr:col>
      <xdr:colOff>1759322</xdr:colOff>
      <xdr:row>988</xdr:row>
      <xdr:rowOff>0</xdr:rowOff>
    </xdr:to>
    <xdr:pic>
      <xdr:nvPicPr>
        <xdr:cNvPr id="1627" name="Рисунок 1626">
          <a:extLst>
            <a:ext uri="{FF2B5EF4-FFF2-40B4-BE49-F238E27FC236}">
              <a16:creationId xmlns:a16="http://schemas.microsoft.com/office/drawing/2014/main" xmlns="" id="{00000000-0008-0000-00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549087" y="8101853"/>
          <a:ext cx="1210235" cy="47064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1056</xdr:row>
      <xdr:rowOff>22411</xdr:rowOff>
    </xdr:from>
    <xdr:to>
      <xdr:col>0</xdr:col>
      <xdr:colOff>1666205</xdr:colOff>
      <xdr:row>1056</xdr:row>
      <xdr:rowOff>431538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21230511">
          <a:off x="571500" y="10197352"/>
          <a:ext cx="1094705" cy="409127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616324</xdr:colOff>
      <xdr:row>402</xdr:row>
      <xdr:rowOff>62149</xdr:rowOff>
    </xdr:from>
    <xdr:to>
      <xdr:col>0</xdr:col>
      <xdr:colOff>1748118</xdr:colOff>
      <xdr:row>415</xdr:row>
      <xdr:rowOff>39797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616324" y="6113325"/>
          <a:ext cx="1131794" cy="481913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504266</xdr:colOff>
      <xdr:row>461</xdr:row>
      <xdr:rowOff>55099</xdr:rowOff>
    </xdr:from>
    <xdr:to>
      <xdr:col>0</xdr:col>
      <xdr:colOff>1557618</xdr:colOff>
      <xdr:row>461</xdr:row>
      <xdr:rowOff>453053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04266" y="7619070"/>
          <a:ext cx="1053352" cy="390334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560294</xdr:colOff>
      <xdr:row>689</xdr:row>
      <xdr:rowOff>56030</xdr:rowOff>
    </xdr:from>
    <xdr:to>
      <xdr:col>0</xdr:col>
      <xdr:colOff>1901639</xdr:colOff>
      <xdr:row>689</xdr:row>
      <xdr:rowOff>496795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60294" y="9637059"/>
          <a:ext cx="1322295" cy="440765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661147</xdr:colOff>
      <xdr:row>1074</xdr:row>
      <xdr:rowOff>37545</xdr:rowOff>
    </xdr:from>
    <xdr:to>
      <xdr:col>0</xdr:col>
      <xdr:colOff>1792943</xdr:colOff>
      <xdr:row>1074</xdr:row>
      <xdr:rowOff>460896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661147" y="10795192"/>
          <a:ext cx="1131796" cy="423351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773204</xdr:colOff>
      <xdr:row>1165</xdr:row>
      <xdr:rowOff>21097</xdr:rowOff>
    </xdr:from>
    <xdr:to>
      <xdr:col>0</xdr:col>
      <xdr:colOff>1748341</xdr:colOff>
      <xdr:row>1178</xdr:row>
      <xdr:rowOff>33382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773204" y="32887950"/>
          <a:ext cx="963707" cy="503216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1178</xdr:row>
      <xdr:rowOff>44823</xdr:rowOff>
    </xdr:from>
    <xdr:to>
      <xdr:col>0</xdr:col>
      <xdr:colOff>2252382</xdr:colOff>
      <xdr:row>1178</xdr:row>
      <xdr:rowOff>498213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78441" y="11642911"/>
          <a:ext cx="2173941" cy="460791"/>
        </a:xfrm>
        <a:prstGeom prst="rect">
          <a:avLst/>
        </a:prstGeom>
      </xdr:spPr>
    </xdr:pic>
    <xdr:clientData/>
  </xdr:twoCellAnchor>
  <xdr:twoCellAnchor editAs="oneCell">
    <xdr:from>
      <xdr:col>0</xdr:col>
      <xdr:colOff>813658</xdr:colOff>
      <xdr:row>1193</xdr:row>
      <xdr:rowOff>407888</xdr:rowOff>
    </xdr:from>
    <xdr:to>
      <xdr:col>0</xdr:col>
      <xdr:colOff>1634376</xdr:colOff>
      <xdr:row>1198</xdr:row>
      <xdr:rowOff>118227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813658" y="539634947"/>
          <a:ext cx="811193" cy="634258"/>
        </a:xfrm>
        <a:prstGeom prst="rect">
          <a:avLst/>
        </a:prstGeom>
      </xdr:spPr>
    </xdr:pic>
    <xdr:clientData/>
  </xdr:twoCellAnchor>
  <xdr:twoCellAnchor editAs="oneCell">
    <xdr:from>
      <xdr:col>0</xdr:col>
      <xdr:colOff>986117</xdr:colOff>
      <xdr:row>1198</xdr:row>
      <xdr:rowOff>134471</xdr:rowOff>
    </xdr:from>
    <xdr:to>
      <xdr:col>0</xdr:col>
      <xdr:colOff>1413383</xdr:colOff>
      <xdr:row>1201</xdr:row>
      <xdr:rowOff>80120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986117" y="13335000"/>
          <a:ext cx="432981" cy="459440"/>
        </a:xfrm>
        <a:prstGeom prst="rect">
          <a:avLst/>
        </a:prstGeom>
      </xdr:spPr>
    </xdr:pic>
    <xdr:clientData/>
  </xdr:twoCellAnchor>
  <xdr:twoCellAnchor editAs="oneCell">
    <xdr:from>
      <xdr:col>0</xdr:col>
      <xdr:colOff>638736</xdr:colOff>
      <xdr:row>1201</xdr:row>
      <xdr:rowOff>145677</xdr:rowOff>
    </xdr:from>
    <xdr:to>
      <xdr:col>0</xdr:col>
      <xdr:colOff>1755514</xdr:colOff>
      <xdr:row>1201</xdr:row>
      <xdr:rowOff>419599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xmlns="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638736" y="13256559"/>
          <a:ext cx="1120588" cy="273922"/>
        </a:xfrm>
        <a:prstGeom prst="rect">
          <a:avLst/>
        </a:prstGeom>
      </xdr:spPr>
    </xdr:pic>
    <xdr:clientData/>
  </xdr:twoCellAnchor>
  <xdr:twoCellAnchor>
    <xdr:from>
      <xdr:col>0</xdr:col>
      <xdr:colOff>865094</xdr:colOff>
      <xdr:row>1239</xdr:row>
      <xdr:rowOff>13447</xdr:rowOff>
    </xdr:from>
    <xdr:to>
      <xdr:col>0</xdr:col>
      <xdr:colOff>1433380</xdr:colOff>
      <xdr:row>1239</xdr:row>
      <xdr:rowOff>496297</xdr:rowOff>
    </xdr:to>
    <xdr:pic>
      <xdr:nvPicPr>
        <xdr:cNvPr id="1699" name="Рисунок 1698">
          <a:extLst>
            <a:ext uri="{FF2B5EF4-FFF2-40B4-BE49-F238E27FC236}">
              <a16:creationId xmlns:a16="http://schemas.microsoft.com/office/drawing/2014/main" xmlns="" id="{00000000-0008-0000-00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78" t="15972" r="20143" b="14153"/>
        <a:stretch>
          <a:fillRect/>
        </a:stretch>
      </xdr:blipFill>
      <xdr:spPr>
        <a:xfrm>
          <a:off x="865094" y="32286388"/>
          <a:ext cx="568286" cy="482850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1249</xdr:row>
      <xdr:rowOff>493059</xdr:rowOff>
    </xdr:from>
    <xdr:to>
      <xdr:col>0</xdr:col>
      <xdr:colOff>2054487</xdr:colOff>
      <xdr:row>1250</xdr:row>
      <xdr:rowOff>492151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xmlns="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324971" y="14780559"/>
          <a:ext cx="1725706" cy="495736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1282</xdr:row>
      <xdr:rowOff>481856</xdr:rowOff>
    </xdr:from>
    <xdr:to>
      <xdr:col>0</xdr:col>
      <xdr:colOff>2054485</xdr:colOff>
      <xdr:row>1283</xdr:row>
      <xdr:rowOff>491498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xmlns="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324970" y="594595327"/>
          <a:ext cx="1725705" cy="468974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336177</xdr:colOff>
      <xdr:row>1290</xdr:row>
      <xdr:rowOff>481853</xdr:rowOff>
    </xdr:from>
    <xdr:to>
      <xdr:col>0</xdr:col>
      <xdr:colOff>2054486</xdr:colOff>
      <xdr:row>1296</xdr:row>
      <xdr:rowOff>22413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336177" y="573920471"/>
          <a:ext cx="1714499" cy="532086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1296</xdr:row>
      <xdr:rowOff>1</xdr:rowOff>
    </xdr:from>
    <xdr:to>
      <xdr:col>0</xdr:col>
      <xdr:colOff>2021699</xdr:colOff>
      <xdr:row>1299</xdr:row>
      <xdr:rowOff>33840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xmlns="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313765" y="18747442"/>
          <a:ext cx="1707934" cy="5266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1559</xdr:row>
      <xdr:rowOff>1</xdr:rowOff>
    </xdr:from>
    <xdr:to>
      <xdr:col>1</xdr:col>
      <xdr:colOff>0</xdr:colOff>
      <xdr:row>1560</xdr:row>
      <xdr:rowOff>361482</xdr:rowOff>
    </xdr:to>
    <xdr:pic>
      <xdr:nvPicPr>
        <xdr:cNvPr id="1700" name="Рисунок 1699">
          <a:extLst>
            <a:ext uri="{FF2B5EF4-FFF2-40B4-BE49-F238E27FC236}">
              <a16:creationId xmlns:a16="http://schemas.microsoft.com/office/drawing/2014/main" xmlns="" id="{00000000-0008-0000-0000-0000A4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11" r="10981"/>
        <a:stretch/>
      </xdr:blipFill>
      <xdr:spPr>
        <a:xfrm>
          <a:off x="0" y="601587795"/>
          <a:ext cx="2420471" cy="8657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1564</xdr:row>
      <xdr:rowOff>462804</xdr:rowOff>
    </xdr:from>
    <xdr:to>
      <xdr:col>1</xdr:col>
      <xdr:colOff>56029</xdr:colOff>
      <xdr:row>1567</xdr:row>
      <xdr:rowOff>313759</xdr:rowOff>
    </xdr:to>
    <xdr:pic>
      <xdr:nvPicPr>
        <xdr:cNvPr id="1701" name="Рисунок 1700">
          <a:extLst>
            <a:ext uri="{FF2B5EF4-FFF2-40B4-BE49-F238E27FC236}">
              <a16:creationId xmlns:a16="http://schemas.microsoft.com/office/drawing/2014/main" xmlns="" id="{00000000-0008-0000-0000-0000A5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8" r="29200"/>
        <a:stretch/>
      </xdr:blipFill>
      <xdr:spPr>
        <a:xfrm>
          <a:off x="0" y="604571922"/>
          <a:ext cx="2476500" cy="13637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1562</xdr:row>
      <xdr:rowOff>288162</xdr:rowOff>
    </xdr:from>
    <xdr:to>
      <xdr:col>1</xdr:col>
      <xdr:colOff>11205</xdr:colOff>
      <xdr:row>1564</xdr:row>
      <xdr:rowOff>216833</xdr:rowOff>
    </xdr:to>
    <xdr:pic>
      <xdr:nvPicPr>
        <xdr:cNvPr id="1702" name="Рисунок 1701">
          <a:extLst>
            <a:ext uri="{FF2B5EF4-FFF2-40B4-BE49-F238E27FC236}">
              <a16:creationId xmlns:a16="http://schemas.microsoft.com/office/drawing/2014/main" xmlns="" id="{00000000-0008-0000-0000-0000A6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11" r="10981"/>
        <a:stretch/>
      </xdr:blipFill>
      <xdr:spPr>
        <a:xfrm>
          <a:off x="0" y="603388750"/>
          <a:ext cx="2431676" cy="9372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1568</xdr:row>
      <xdr:rowOff>134472</xdr:rowOff>
    </xdr:from>
    <xdr:to>
      <xdr:col>1</xdr:col>
      <xdr:colOff>22411</xdr:colOff>
      <xdr:row>1570</xdr:row>
      <xdr:rowOff>396532</xdr:rowOff>
    </xdr:to>
    <xdr:pic>
      <xdr:nvPicPr>
        <xdr:cNvPr id="1703" name="Рисунок 1702">
          <a:extLst>
            <a:ext uri="{FF2B5EF4-FFF2-40B4-BE49-F238E27FC236}">
              <a16:creationId xmlns:a16="http://schemas.microsoft.com/office/drawing/2014/main" xmlns="" id="{00000000-0008-0000-0000-0000A7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8" r="29200"/>
        <a:stretch/>
      </xdr:blipFill>
      <xdr:spPr>
        <a:xfrm>
          <a:off x="0" y="606260648"/>
          <a:ext cx="2442882" cy="1270590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324970</xdr:colOff>
      <xdr:row>1299</xdr:row>
      <xdr:rowOff>11205</xdr:rowOff>
    </xdr:from>
    <xdr:to>
      <xdr:col>0</xdr:col>
      <xdr:colOff>2022550</xdr:colOff>
      <xdr:row>1312</xdr:row>
      <xdr:rowOff>73142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324970" y="572441293"/>
          <a:ext cx="1703295" cy="556676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1313</xdr:row>
      <xdr:rowOff>11206</xdr:rowOff>
    </xdr:from>
    <xdr:to>
      <xdr:col>0</xdr:col>
      <xdr:colOff>2015378</xdr:colOff>
      <xdr:row>1313</xdr:row>
      <xdr:rowOff>491966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358588" y="17660471"/>
          <a:ext cx="1647265" cy="480760"/>
        </a:xfrm>
        <a:prstGeom prst="rect">
          <a:avLst/>
        </a:prstGeom>
      </xdr:spPr>
    </xdr:pic>
    <xdr:clientData/>
  </xdr:twoCellAnchor>
  <xdr:twoCellAnchor>
    <xdr:from>
      <xdr:col>0</xdr:col>
      <xdr:colOff>1630330</xdr:colOff>
      <xdr:row>1318</xdr:row>
      <xdr:rowOff>17304</xdr:rowOff>
    </xdr:from>
    <xdr:to>
      <xdr:col>0</xdr:col>
      <xdr:colOff>2119590</xdr:colOff>
      <xdr:row>1318</xdr:row>
      <xdr:rowOff>489834</xdr:rowOff>
    </xdr:to>
    <xdr:pic>
      <xdr:nvPicPr>
        <xdr:cNvPr id="1706" name="Рисунок 1705">
          <a:extLst>
            <a:ext uri="{FF2B5EF4-FFF2-40B4-BE49-F238E27FC236}">
              <a16:creationId xmlns:a16="http://schemas.microsoft.com/office/drawing/2014/main" xmlns="" id="{00000000-0008-0000-0000-0000AA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59" r="20519"/>
        <a:stretch/>
      </xdr:blipFill>
      <xdr:spPr>
        <a:xfrm>
          <a:off x="1630330" y="18764745"/>
          <a:ext cx="489260" cy="472530"/>
        </a:xfrm>
        <a:prstGeom prst="rect">
          <a:avLst/>
        </a:prstGeom>
      </xdr:spPr>
    </xdr:pic>
    <xdr:clientData/>
  </xdr:twoCellAnchor>
  <xdr:twoCellAnchor>
    <xdr:from>
      <xdr:col>0</xdr:col>
      <xdr:colOff>828255</xdr:colOff>
      <xdr:row>1331</xdr:row>
      <xdr:rowOff>19330</xdr:rowOff>
    </xdr:from>
    <xdr:to>
      <xdr:col>0</xdr:col>
      <xdr:colOff>1589794</xdr:colOff>
      <xdr:row>1331</xdr:row>
      <xdr:rowOff>502180</xdr:rowOff>
    </xdr:to>
    <xdr:pic>
      <xdr:nvPicPr>
        <xdr:cNvPr id="1710" name="Рисунок 1709">
          <a:extLst>
            <a:ext uri="{FF2B5EF4-FFF2-40B4-BE49-F238E27FC236}">
              <a16:creationId xmlns:a16="http://schemas.microsoft.com/office/drawing/2014/main" xmlns="" id="{00000000-0008-0000-00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255" y="19349477"/>
          <a:ext cx="761539" cy="482850"/>
        </a:xfrm>
        <a:prstGeom prst="rect">
          <a:avLst/>
        </a:prstGeom>
      </xdr:spPr>
    </xdr:pic>
    <xdr:clientData/>
  </xdr:twoCellAnchor>
  <xdr:twoCellAnchor editAs="oneCell">
    <xdr:from>
      <xdr:col>0</xdr:col>
      <xdr:colOff>874059</xdr:colOff>
      <xdr:row>0</xdr:row>
      <xdr:rowOff>56029</xdr:rowOff>
    </xdr:from>
    <xdr:to>
      <xdr:col>0</xdr:col>
      <xdr:colOff>1641549</xdr:colOff>
      <xdr:row>0</xdr:row>
      <xdr:rowOff>492129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59" y="56029"/>
          <a:ext cx="773205" cy="428480"/>
        </a:xfrm>
        <a:prstGeom prst="rect">
          <a:avLst/>
        </a:prstGeom>
      </xdr:spPr>
    </xdr:pic>
    <xdr:clientData/>
  </xdr:twoCellAnchor>
  <xdr:twoCellAnchor editAs="oneCell">
    <xdr:from>
      <xdr:col>0</xdr:col>
      <xdr:colOff>907677</xdr:colOff>
      <xdr:row>24</xdr:row>
      <xdr:rowOff>33618</xdr:rowOff>
    </xdr:from>
    <xdr:to>
      <xdr:col>0</xdr:col>
      <xdr:colOff>1413622</xdr:colOff>
      <xdr:row>173</xdr:row>
      <xdr:rowOff>41014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677" y="1714500"/>
          <a:ext cx="515470" cy="515470"/>
        </a:xfrm>
        <a:prstGeom prst="rect">
          <a:avLst/>
        </a:prstGeom>
      </xdr:spPr>
    </xdr:pic>
    <xdr:clientData/>
  </xdr:twoCellAnchor>
  <xdr:twoCellAnchor editAs="oneCell">
    <xdr:from>
      <xdr:col>0</xdr:col>
      <xdr:colOff>930090</xdr:colOff>
      <xdr:row>173</xdr:row>
      <xdr:rowOff>56028</xdr:rowOff>
    </xdr:from>
    <xdr:to>
      <xdr:col>0</xdr:col>
      <xdr:colOff>1374514</xdr:colOff>
      <xdr:row>174</xdr:row>
      <xdr:rowOff>0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090" y="2241175"/>
          <a:ext cx="448234" cy="448235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896472</xdr:colOff>
      <xdr:row>178</xdr:row>
      <xdr:rowOff>14783</xdr:rowOff>
    </xdr:from>
    <xdr:to>
      <xdr:col>0</xdr:col>
      <xdr:colOff>1411942</xdr:colOff>
      <xdr:row>182</xdr:row>
      <xdr:rowOff>33610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2" y="2704195"/>
          <a:ext cx="515470" cy="515470"/>
        </a:xfrm>
        <a:prstGeom prst="rect">
          <a:avLst/>
        </a:prstGeom>
      </xdr:spPr>
    </xdr:pic>
    <xdr:clientData/>
  </xdr:twoCellAnchor>
  <xdr:twoCellAnchor editAs="oneCell">
    <xdr:from>
      <xdr:col>0</xdr:col>
      <xdr:colOff>907677</xdr:colOff>
      <xdr:row>394</xdr:row>
      <xdr:rowOff>11207</xdr:rowOff>
    </xdr:from>
    <xdr:to>
      <xdr:col>0</xdr:col>
      <xdr:colOff>1406451</xdr:colOff>
      <xdr:row>394</xdr:row>
      <xdr:rowOff>498213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677" y="4717678"/>
          <a:ext cx="493059" cy="493057"/>
        </a:xfrm>
        <a:prstGeom prst="rect">
          <a:avLst/>
        </a:prstGeom>
      </xdr:spPr>
    </xdr:pic>
    <xdr:clientData/>
  </xdr:twoCellAnchor>
  <xdr:twoCellAnchor editAs="oneCell">
    <xdr:from>
      <xdr:col>0</xdr:col>
      <xdr:colOff>930088</xdr:colOff>
      <xdr:row>210</xdr:row>
      <xdr:rowOff>22411</xdr:rowOff>
    </xdr:from>
    <xdr:to>
      <xdr:col>0</xdr:col>
      <xdr:colOff>1406450</xdr:colOff>
      <xdr:row>210</xdr:row>
      <xdr:rowOff>493058</xdr:rowOff>
    </xdr:to>
    <xdr:pic>
      <xdr:nvPicPr>
        <xdr:cNvPr id="768" name="Рисунок 767">
          <a:extLst>
            <a:ext uri="{FF2B5EF4-FFF2-40B4-BE49-F238E27FC236}">
              <a16:creationId xmlns:a16="http://schemas.microsoft.com/office/drawing/2014/main" xmlns="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088" y="3720352"/>
          <a:ext cx="470647" cy="470647"/>
        </a:xfrm>
        <a:prstGeom prst="rect">
          <a:avLst/>
        </a:prstGeom>
      </xdr:spPr>
    </xdr:pic>
    <xdr:clientData/>
  </xdr:twoCellAnchor>
  <xdr:twoCellAnchor editAs="oneCell">
    <xdr:from>
      <xdr:col>0</xdr:col>
      <xdr:colOff>918882</xdr:colOff>
      <xdr:row>283</xdr:row>
      <xdr:rowOff>11206</xdr:rowOff>
    </xdr:from>
    <xdr:to>
      <xdr:col>0</xdr:col>
      <xdr:colOff>1374513</xdr:colOff>
      <xdr:row>283</xdr:row>
      <xdr:rowOff>461122</xdr:rowOff>
    </xdr:to>
    <xdr:pic>
      <xdr:nvPicPr>
        <xdr:cNvPr id="769" name="Рисунок 768">
          <a:extLst>
            <a:ext uri="{FF2B5EF4-FFF2-40B4-BE49-F238E27FC236}">
              <a16:creationId xmlns:a16="http://schemas.microsoft.com/office/drawing/2014/main" xmlns="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82" y="4213412"/>
          <a:ext cx="459441" cy="459441"/>
        </a:xfrm>
        <a:prstGeom prst="rect">
          <a:avLst/>
        </a:prstGeom>
      </xdr:spPr>
    </xdr:pic>
    <xdr:clientData/>
  </xdr:twoCellAnchor>
  <xdr:twoCellAnchor editAs="oneCell">
    <xdr:from>
      <xdr:col>0</xdr:col>
      <xdr:colOff>918884</xdr:colOff>
      <xdr:row>182</xdr:row>
      <xdr:rowOff>11206</xdr:rowOff>
    </xdr:from>
    <xdr:to>
      <xdr:col>0</xdr:col>
      <xdr:colOff>1413625</xdr:colOff>
      <xdr:row>183</xdr:row>
      <xdr:rowOff>0</xdr:rowOff>
    </xdr:to>
    <xdr:pic>
      <xdr:nvPicPr>
        <xdr:cNvPr id="770" name="Рисунок 769">
          <a:extLst>
            <a:ext uri="{FF2B5EF4-FFF2-40B4-BE49-F238E27FC236}">
              <a16:creationId xmlns:a16="http://schemas.microsoft.com/office/drawing/2014/main" xmlns="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84" y="3204882"/>
          <a:ext cx="504266" cy="504266"/>
        </a:xfrm>
        <a:prstGeom prst="rect">
          <a:avLst/>
        </a:prstGeom>
      </xdr:spPr>
    </xdr:pic>
    <xdr:clientData/>
  </xdr:twoCellAnchor>
  <xdr:twoCellAnchor editAs="oneCell">
    <xdr:from>
      <xdr:col>0</xdr:col>
      <xdr:colOff>874059</xdr:colOff>
      <xdr:row>2</xdr:row>
      <xdr:rowOff>493061</xdr:rowOff>
    </xdr:from>
    <xdr:to>
      <xdr:col>0</xdr:col>
      <xdr:colOff>1445559</xdr:colOff>
      <xdr:row>4</xdr:row>
      <xdr:rowOff>73176</xdr:rowOff>
    </xdr:to>
    <xdr:pic>
      <xdr:nvPicPr>
        <xdr:cNvPr id="771" name="Рисунок 770">
          <a:extLst>
            <a:ext uri="{FF2B5EF4-FFF2-40B4-BE49-F238E27FC236}">
              <a16:creationId xmlns:a16="http://schemas.microsoft.com/office/drawing/2014/main" xmlns="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59" y="1165414"/>
          <a:ext cx="571500" cy="571500"/>
        </a:xfrm>
        <a:prstGeom prst="rect">
          <a:avLst/>
        </a:prstGeom>
      </xdr:spPr>
    </xdr:pic>
    <xdr:clientData/>
  </xdr:twoCellAnchor>
  <xdr:twoCellAnchor>
    <xdr:from>
      <xdr:col>0</xdr:col>
      <xdr:colOff>772583</xdr:colOff>
      <xdr:row>1373</xdr:row>
      <xdr:rowOff>77818</xdr:rowOff>
    </xdr:from>
    <xdr:to>
      <xdr:col>0</xdr:col>
      <xdr:colOff>1582583</xdr:colOff>
      <xdr:row>1374</xdr:row>
      <xdr:rowOff>65928</xdr:rowOff>
    </xdr:to>
    <xdr:pic>
      <xdr:nvPicPr>
        <xdr:cNvPr id="1395" name="Рисунок 1394">
          <a:extLst>
            <a:ext uri="{FF2B5EF4-FFF2-40B4-BE49-F238E27FC236}">
              <a16:creationId xmlns:a16="http://schemas.microsoft.com/office/drawing/2014/main" xmlns="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605285112"/>
          <a:ext cx="810000" cy="492375"/>
        </a:xfrm>
        <a:prstGeom prst="rect">
          <a:avLst/>
        </a:prstGeom>
      </xdr:spPr>
    </xdr:pic>
    <xdr:clientData/>
  </xdr:twoCellAnchor>
  <xdr:twoCellAnchor>
    <xdr:from>
      <xdr:col>0</xdr:col>
      <xdr:colOff>941917</xdr:colOff>
      <xdr:row>1372</xdr:row>
      <xdr:rowOff>88401</xdr:rowOff>
    </xdr:from>
    <xdr:to>
      <xdr:col>0</xdr:col>
      <xdr:colOff>1389808</xdr:colOff>
      <xdr:row>1373</xdr:row>
      <xdr:rowOff>66986</xdr:rowOff>
    </xdr:to>
    <xdr:pic>
      <xdr:nvPicPr>
        <xdr:cNvPr id="1396" name="Рисунок 1395">
          <a:extLst>
            <a:ext uri="{FF2B5EF4-FFF2-40B4-BE49-F238E27FC236}">
              <a16:creationId xmlns:a16="http://schemas.microsoft.com/office/drawing/2014/main" xmlns="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17" y="604791430"/>
          <a:ext cx="447891" cy="482850"/>
        </a:xfrm>
        <a:prstGeom prst="rect">
          <a:avLst/>
        </a:prstGeom>
      </xdr:spPr>
    </xdr:pic>
    <xdr:clientData/>
  </xdr:twoCellAnchor>
  <xdr:twoCellAnchor>
    <xdr:from>
      <xdr:col>0</xdr:col>
      <xdr:colOff>836083</xdr:colOff>
      <xdr:row>1371</xdr:row>
      <xdr:rowOff>98985</xdr:rowOff>
    </xdr:from>
    <xdr:to>
      <xdr:col>0</xdr:col>
      <xdr:colOff>1556083</xdr:colOff>
      <xdr:row>1372</xdr:row>
      <xdr:rowOff>67485</xdr:rowOff>
    </xdr:to>
    <xdr:pic>
      <xdr:nvPicPr>
        <xdr:cNvPr id="1397" name="Рисунок 1396">
          <a:extLst>
            <a:ext uri="{FF2B5EF4-FFF2-40B4-BE49-F238E27FC236}">
              <a16:creationId xmlns:a16="http://schemas.microsoft.com/office/drawing/2014/main" xmlns="" id="{00000000-0008-0000-00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604297750"/>
          <a:ext cx="720000" cy="472764"/>
        </a:xfrm>
        <a:prstGeom prst="rect">
          <a:avLst/>
        </a:prstGeom>
      </xdr:spPr>
    </xdr:pic>
    <xdr:clientData/>
  </xdr:twoCellAnchor>
  <xdr:twoCellAnchor>
    <xdr:from>
      <xdr:col>0</xdr:col>
      <xdr:colOff>814917</xdr:colOff>
      <xdr:row>1374</xdr:row>
      <xdr:rowOff>22413</xdr:rowOff>
    </xdr:from>
    <xdr:to>
      <xdr:col>0</xdr:col>
      <xdr:colOff>1532431</xdr:colOff>
      <xdr:row>1375</xdr:row>
      <xdr:rowOff>67796</xdr:rowOff>
    </xdr:to>
    <xdr:pic>
      <xdr:nvPicPr>
        <xdr:cNvPr id="1398" name="Рисунок 1397">
          <a:extLst>
            <a:ext uri="{FF2B5EF4-FFF2-40B4-BE49-F238E27FC236}">
              <a16:creationId xmlns:a16="http://schemas.microsoft.com/office/drawing/2014/main" xmlns="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814917" y="605733972"/>
          <a:ext cx="717514" cy="549648"/>
        </a:xfrm>
        <a:prstGeom prst="rect">
          <a:avLst/>
        </a:prstGeom>
      </xdr:spPr>
    </xdr:pic>
    <xdr:clientData/>
  </xdr:twoCellAnchor>
  <xdr:twoCellAnchor>
    <xdr:from>
      <xdr:col>0</xdr:col>
      <xdr:colOff>800101</xdr:colOff>
      <xdr:row>1375</xdr:row>
      <xdr:rowOff>172009</xdr:rowOff>
    </xdr:from>
    <xdr:to>
      <xdr:col>0</xdr:col>
      <xdr:colOff>1692089</xdr:colOff>
      <xdr:row>1376</xdr:row>
      <xdr:rowOff>67795</xdr:rowOff>
    </xdr:to>
    <xdr:pic>
      <xdr:nvPicPr>
        <xdr:cNvPr id="1626" name="Рисунок 1625">
          <a:extLst>
            <a:ext uri="{FF2B5EF4-FFF2-40B4-BE49-F238E27FC236}">
              <a16:creationId xmlns:a16="http://schemas.microsoft.com/office/drawing/2014/main" xmlns="" id="{00000000-0008-0000-00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606387833"/>
          <a:ext cx="891988" cy="4000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1393</xdr:row>
      <xdr:rowOff>80842</xdr:rowOff>
    </xdr:from>
    <xdr:to>
      <xdr:col>0</xdr:col>
      <xdr:colOff>1372170</xdr:colOff>
      <xdr:row>1394</xdr:row>
      <xdr:rowOff>68953</xdr:rowOff>
    </xdr:to>
    <xdr:pic>
      <xdr:nvPicPr>
        <xdr:cNvPr id="1629" name="Рисунок 1628">
          <a:extLst>
            <a:ext uri="{FF2B5EF4-FFF2-40B4-BE49-F238E27FC236}">
              <a16:creationId xmlns:a16="http://schemas.microsoft.com/office/drawing/2014/main" xmlns="" id="{00000000-0008-0000-00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607809460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1394</xdr:row>
      <xdr:rowOff>80841</xdr:rowOff>
    </xdr:from>
    <xdr:to>
      <xdr:col>0</xdr:col>
      <xdr:colOff>1372169</xdr:colOff>
      <xdr:row>1395</xdr:row>
      <xdr:rowOff>68951</xdr:rowOff>
    </xdr:to>
    <xdr:pic>
      <xdr:nvPicPr>
        <xdr:cNvPr id="1630" name="Рисунок 1629">
          <a:extLst>
            <a:ext uri="{FF2B5EF4-FFF2-40B4-BE49-F238E27FC236}">
              <a16:creationId xmlns:a16="http://schemas.microsoft.com/office/drawing/2014/main" xmlns="" id="{00000000-0008-0000-00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08313723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1395</xdr:row>
      <xdr:rowOff>80841</xdr:rowOff>
    </xdr:from>
    <xdr:to>
      <xdr:col>0</xdr:col>
      <xdr:colOff>1372170</xdr:colOff>
      <xdr:row>1396</xdr:row>
      <xdr:rowOff>68951</xdr:rowOff>
    </xdr:to>
    <xdr:pic>
      <xdr:nvPicPr>
        <xdr:cNvPr id="1632" name="Рисунок 1631">
          <a:extLst>
            <a:ext uri="{FF2B5EF4-FFF2-40B4-BE49-F238E27FC236}">
              <a16:creationId xmlns:a16="http://schemas.microsoft.com/office/drawing/2014/main" xmlns="" id="{00000000-0008-0000-00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08817988"/>
          <a:ext cx="610170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1396</xdr:row>
      <xdr:rowOff>80842</xdr:rowOff>
    </xdr:from>
    <xdr:to>
      <xdr:col>0</xdr:col>
      <xdr:colOff>1372169</xdr:colOff>
      <xdr:row>1397</xdr:row>
      <xdr:rowOff>68953</xdr:rowOff>
    </xdr:to>
    <xdr:pic>
      <xdr:nvPicPr>
        <xdr:cNvPr id="1633" name="Рисунок 1632">
          <a:extLst>
            <a:ext uri="{FF2B5EF4-FFF2-40B4-BE49-F238E27FC236}">
              <a16:creationId xmlns:a16="http://schemas.microsoft.com/office/drawing/2014/main" xmlns="" id="{00000000-0008-0000-00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09322254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1397</xdr:row>
      <xdr:rowOff>80842</xdr:rowOff>
    </xdr:from>
    <xdr:to>
      <xdr:col>0</xdr:col>
      <xdr:colOff>1372169</xdr:colOff>
      <xdr:row>1398</xdr:row>
      <xdr:rowOff>68952</xdr:rowOff>
    </xdr:to>
    <xdr:pic>
      <xdr:nvPicPr>
        <xdr:cNvPr id="1634" name="Рисунок 1633">
          <a:extLst>
            <a:ext uri="{FF2B5EF4-FFF2-40B4-BE49-F238E27FC236}">
              <a16:creationId xmlns:a16="http://schemas.microsoft.com/office/drawing/2014/main" xmlns="" id="{00000000-0008-0000-00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09826518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1398</xdr:row>
      <xdr:rowOff>80842</xdr:rowOff>
    </xdr:from>
    <xdr:to>
      <xdr:col>0</xdr:col>
      <xdr:colOff>1372169</xdr:colOff>
      <xdr:row>1399</xdr:row>
      <xdr:rowOff>68952</xdr:rowOff>
    </xdr:to>
    <xdr:pic>
      <xdr:nvPicPr>
        <xdr:cNvPr id="1635" name="Рисунок 1634">
          <a:extLst>
            <a:ext uri="{FF2B5EF4-FFF2-40B4-BE49-F238E27FC236}">
              <a16:creationId xmlns:a16="http://schemas.microsoft.com/office/drawing/2014/main" xmlns="" id="{00000000-0008-0000-00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0330783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1399</xdr:row>
      <xdr:rowOff>80842</xdr:rowOff>
    </xdr:from>
    <xdr:to>
      <xdr:col>0</xdr:col>
      <xdr:colOff>1372170</xdr:colOff>
      <xdr:row>1400</xdr:row>
      <xdr:rowOff>68952</xdr:rowOff>
    </xdr:to>
    <xdr:pic>
      <xdr:nvPicPr>
        <xdr:cNvPr id="1636" name="Рисунок 1635">
          <a:extLst>
            <a:ext uri="{FF2B5EF4-FFF2-40B4-BE49-F238E27FC236}">
              <a16:creationId xmlns:a16="http://schemas.microsoft.com/office/drawing/2014/main" xmlns="" id="{00000000-0008-0000-00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610835048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1400</xdr:row>
      <xdr:rowOff>80842</xdr:rowOff>
    </xdr:from>
    <xdr:to>
      <xdr:col>0</xdr:col>
      <xdr:colOff>1372170</xdr:colOff>
      <xdr:row>1401</xdr:row>
      <xdr:rowOff>68953</xdr:rowOff>
    </xdr:to>
    <xdr:pic>
      <xdr:nvPicPr>
        <xdr:cNvPr id="1637" name="Рисунок 1636">
          <a:extLst>
            <a:ext uri="{FF2B5EF4-FFF2-40B4-BE49-F238E27FC236}">
              <a16:creationId xmlns:a16="http://schemas.microsoft.com/office/drawing/2014/main" xmlns="" id="{00000000-0008-0000-00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611339313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1401</xdr:row>
      <xdr:rowOff>80842</xdr:rowOff>
    </xdr:from>
    <xdr:to>
      <xdr:col>0</xdr:col>
      <xdr:colOff>1372169</xdr:colOff>
      <xdr:row>1402</xdr:row>
      <xdr:rowOff>68952</xdr:rowOff>
    </xdr:to>
    <xdr:pic>
      <xdr:nvPicPr>
        <xdr:cNvPr id="1638" name="Рисунок 1637">
          <a:extLst>
            <a:ext uri="{FF2B5EF4-FFF2-40B4-BE49-F238E27FC236}">
              <a16:creationId xmlns:a16="http://schemas.microsoft.com/office/drawing/2014/main" xmlns="" id="{00000000-0008-0000-00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1843577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1402</xdr:row>
      <xdr:rowOff>80842</xdr:rowOff>
    </xdr:from>
    <xdr:to>
      <xdr:col>0</xdr:col>
      <xdr:colOff>1372169</xdr:colOff>
      <xdr:row>1403</xdr:row>
      <xdr:rowOff>68952</xdr:rowOff>
    </xdr:to>
    <xdr:pic>
      <xdr:nvPicPr>
        <xdr:cNvPr id="1639" name="Рисунок 1638">
          <a:extLst>
            <a:ext uri="{FF2B5EF4-FFF2-40B4-BE49-F238E27FC236}">
              <a16:creationId xmlns:a16="http://schemas.microsoft.com/office/drawing/2014/main" xmlns="" id="{00000000-0008-0000-00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2347842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1403</xdr:row>
      <xdr:rowOff>80842</xdr:rowOff>
    </xdr:from>
    <xdr:to>
      <xdr:col>0</xdr:col>
      <xdr:colOff>1372169</xdr:colOff>
      <xdr:row>1404</xdr:row>
      <xdr:rowOff>68953</xdr:rowOff>
    </xdr:to>
    <xdr:pic>
      <xdr:nvPicPr>
        <xdr:cNvPr id="1640" name="Рисунок 1639">
          <a:extLst>
            <a:ext uri="{FF2B5EF4-FFF2-40B4-BE49-F238E27FC236}">
              <a16:creationId xmlns:a16="http://schemas.microsoft.com/office/drawing/2014/main" xmlns="" id="{00000000-0008-0000-00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2852107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1404</xdr:row>
      <xdr:rowOff>80842</xdr:rowOff>
    </xdr:from>
    <xdr:to>
      <xdr:col>0</xdr:col>
      <xdr:colOff>1372169</xdr:colOff>
      <xdr:row>1405</xdr:row>
      <xdr:rowOff>68952</xdr:rowOff>
    </xdr:to>
    <xdr:pic>
      <xdr:nvPicPr>
        <xdr:cNvPr id="1641" name="Рисунок 1640">
          <a:extLst>
            <a:ext uri="{FF2B5EF4-FFF2-40B4-BE49-F238E27FC236}">
              <a16:creationId xmlns:a16="http://schemas.microsoft.com/office/drawing/2014/main" xmlns="" id="{00000000-0008-0000-00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3356371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1405</xdr:row>
      <xdr:rowOff>80842</xdr:rowOff>
    </xdr:from>
    <xdr:to>
      <xdr:col>0</xdr:col>
      <xdr:colOff>1372169</xdr:colOff>
      <xdr:row>1406</xdr:row>
      <xdr:rowOff>68952</xdr:rowOff>
    </xdr:to>
    <xdr:pic>
      <xdr:nvPicPr>
        <xdr:cNvPr id="1642" name="Рисунок 1641">
          <a:extLst>
            <a:ext uri="{FF2B5EF4-FFF2-40B4-BE49-F238E27FC236}">
              <a16:creationId xmlns:a16="http://schemas.microsoft.com/office/drawing/2014/main" xmlns="" id="{00000000-0008-0000-00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3860636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1406</xdr:row>
      <xdr:rowOff>80842</xdr:rowOff>
    </xdr:from>
    <xdr:to>
      <xdr:col>0</xdr:col>
      <xdr:colOff>1372169</xdr:colOff>
      <xdr:row>1407</xdr:row>
      <xdr:rowOff>68952</xdr:rowOff>
    </xdr:to>
    <xdr:pic>
      <xdr:nvPicPr>
        <xdr:cNvPr id="1643" name="Рисунок 1642">
          <a:extLst>
            <a:ext uri="{FF2B5EF4-FFF2-40B4-BE49-F238E27FC236}">
              <a16:creationId xmlns:a16="http://schemas.microsoft.com/office/drawing/2014/main" xmlns="" id="{00000000-0008-0000-00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4364901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1407</xdr:row>
      <xdr:rowOff>80842</xdr:rowOff>
    </xdr:from>
    <xdr:to>
      <xdr:col>0</xdr:col>
      <xdr:colOff>1372170</xdr:colOff>
      <xdr:row>1408</xdr:row>
      <xdr:rowOff>68953</xdr:rowOff>
    </xdr:to>
    <xdr:pic>
      <xdr:nvPicPr>
        <xdr:cNvPr id="1644" name="Рисунок 1643">
          <a:extLst>
            <a:ext uri="{FF2B5EF4-FFF2-40B4-BE49-F238E27FC236}">
              <a16:creationId xmlns:a16="http://schemas.microsoft.com/office/drawing/2014/main" xmlns="" id="{00000000-0008-0000-00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614869166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1408</xdr:row>
      <xdr:rowOff>80842</xdr:rowOff>
    </xdr:from>
    <xdr:to>
      <xdr:col>0</xdr:col>
      <xdr:colOff>1372170</xdr:colOff>
      <xdr:row>1409</xdr:row>
      <xdr:rowOff>68952</xdr:rowOff>
    </xdr:to>
    <xdr:pic>
      <xdr:nvPicPr>
        <xdr:cNvPr id="1645" name="Рисунок 1644">
          <a:extLst>
            <a:ext uri="{FF2B5EF4-FFF2-40B4-BE49-F238E27FC236}">
              <a16:creationId xmlns:a16="http://schemas.microsoft.com/office/drawing/2014/main" xmlns="" id="{00000000-0008-0000-00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615373430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1409</xdr:row>
      <xdr:rowOff>80842</xdr:rowOff>
    </xdr:from>
    <xdr:to>
      <xdr:col>0</xdr:col>
      <xdr:colOff>1372169</xdr:colOff>
      <xdr:row>1410</xdr:row>
      <xdr:rowOff>68952</xdr:rowOff>
    </xdr:to>
    <xdr:pic>
      <xdr:nvPicPr>
        <xdr:cNvPr id="1646" name="Рисунок 1645">
          <a:extLst>
            <a:ext uri="{FF2B5EF4-FFF2-40B4-BE49-F238E27FC236}">
              <a16:creationId xmlns:a16="http://schemas.microsoft.com/office/drawing/2014/main" xmlns="" id="{00000000-0008-0000-00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5877695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1410</xdr:row>
      <xdr:rowOff>80842</xdr:rowOff>
    </xdr:from>
    <xdr:to>
      <xdr:col>0</xdr:col>
      <xdr:colOff>1372169</xdr:colOff>
      <xdr:row>1411</xdr:row>
      <xdr:rowOff>68953</xdr:rowOff>
    </xdr:to>
    <xdr:pic>
      <xdr:nvPicPr>
        <xdr:cNvPr id="1647" name="Рисунок 1646">
          <a:extLst>
            <a:ext uri="{FF2B5EF4-FFF2-40B4-BE49-F238E27FC236}">
              <a16:creationId xmlns:a16="http://schemas.microsoft.com/office/drawing/2014/main" xmlns="" id="{00000000-0008-0000-00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6381960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1411</xdr:row>
      <xdr:rowOff>80842</xdr:rowOff>
    </xdr:from>
    <xdr:to>
      <xdr:col>0</xdr:col>
      <xdr:colOff>1372169</xdr:colOff>
      <xdr:row>1412</xdr:row>
      <xdr:rowOff>68952</xdr:rowOff>
    </xdr:to>
    <xdr:pic>
      <xdr:nvPicPr>
        <xdr:cNvPr id="1648" name="Рисунок 1647">
          <a:extLst>
            <a:ext uri="{FF2B5EF4-FFF2-40B4-BE49-F238E27FC236}">
              <a16:creationId xmlns:a16="http://schemas.microsoft.com/office/drawing/2014/main" xmlns="" id="{00000000-0008-0000-00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6886224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1412</xdr:row>
      <xdr:rowOff>80842</xdr:rowOff>
    </xdr:from>
    <xdr:to>
      <xdr:col>0</xdr:col>
      <xdr:colOff>1372169</xdr:colOff>
      <xdr:row>1413</xdr:row>
      <xdr:rowOff>68952</xdr:rowOff>
    </xdr:to>
    <xdr:pic>
      <xdr:nvPicPr>
        <xdr:cNvPr id="1649" name="Рисунок 1648">
          <a:extLst>
            <a:ext uri="{FF2B5EF4-FFF2-40B4-BE49-F238E27FC236}">
              <a16:creationId xmlns:a16="http://schemas.microsoft.com/office/drawing/2014/main" xmlns="" id="{00000000-0008-0000-00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7390489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1413</xdr:row>
      <xdr:rowOff>80842</xdr:rowOff>
    </xdr:from>
    <xdr:to>
      <xdr:col>0</xdr:col>
      <xdr:colOff>1372169</xdr:colOff>
      <xdr:row>1414</xdr:row>
      <xdr:rowOff>68953</xdr:rowOff>
    </xdr:to>
    <xdr:pic>
      <xdr:nvPicPr>
        <xdr:cNvPr id="1650" name="Рисунок 1649">
          <a:extLst>
            <a:ext uri="{FF2B5EF4-FFF2-40B4-BE49-F238E27FC236}">
              <a16:creationId xmlns:a16="http://schemas.microsoft.com/office/drawing/2014/main" xmlns="" id="{00000000-0008-0000-00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7894754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1414</xdr:row>
      <xdr:rowOff>80842</xdr:rowOff>
    </xdr:from>
    <xdr:to>
      <xdr:col>0</xdr:col>
      <xdr:colOff>1372169</xdr:colOff>
      <xdr:row>1415</xdr:row>
      <xdr:rowOff>68952</xdr:rowOff>
    </xdr:to>
    <xdr:pic>
      <xdr:nvPicPr>
        <xdr:cNvPr id="1651" name="Рисунок 1650">
          <a:extLst>
            <a:ext uri="{FF2B5EF4-FFF2-40B4-BE49-F238E27FC236}">
              <a16:creationId xmlns:a16="http://schemas.microsoft.com/office/drawing/2014/main" xmlns="" id="{00000000-0008-0000-00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8399018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1415</xdr:row>
      <xdr:rowOff>80842</xdr:rowOff>
    </xdr:from>
    <xdr:to>
      <xdr:col>0</xdr:col>
      <xdr:colOff>1372170</xdr:colOff>
      <xdr:row>1416</xdr:row>
      <xdr:rowOff>68952</xdr:rowOff>
    </xdr:to>
    <xdr:pic>
      <xdr:nvPicPr>
        <xdr:cNvPr id="1652" name="Рисунок 1651">
          <a:extLst>
            <a:ext uri="{FF2B5EF4-FFF2-40B4-BE49-F238E27FC236}">
              <a16:creationId xmlns:a16="http://schemas.microsoft.com/office/drawing/2014/main" xmlns="" id="{00000000-0008-0000-00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618903283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1416</xdr:row>
      <xdr:rowOff>80842</xdr:rowOff>
    </xdr:from>
    <xdr:to>
      <xdr:col>0</xdr:col>
      <xdr:colOff>1372170</xdr:colOff>
      <xdr:row>1417</xdr:row>
      <xdr:rowOff>68952</xdr:rowOff>
    </xdr:to>
    <xdr:pic>
      <xdr:nvPicPr>
        <xdr:cNvPr id="1653" name="Рисунок 1652">
          <a:extLst>
            <a:ext uri="{FF2B5EF4-FFF2-40B4-BE49-F238E27FC236}">
              <a16:creationId xmlns:a16="http://schemas.microsoft.com/office/drawing/2014/main" xmlns="" id="{00000000-0008-0000-00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619407548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1417</xdr:row>
      <xdr:rowOff>80842</xdr:rowOff>
    </xdr:from>
    <xdr:to>
      <xdr:col>0</xdr:col>
      <xdr:colOff>1372169</xdr:colOff>
      <xdr:row>1418</xdr:row>
      <xdr:rowOff>68953</xdr:rowOff>
    </xdr:to>
    <xdr:pic>
      <xdr:nvPicPr>
        <xdr:cNvPr id="1654" name="Рисунок 1653">
          <a:extLst>
            <a:ext uri="{FF2B5EF4-FFF2-40B4-BE49-F238E27FC236}">
              <a16:creationId xmlns:a16="http://schemas.microsoft.com/office/drawing/2014/main" xmlns="" id="{00000000-0008-0000-00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19911813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1418</xdr:row>
      <xdr:rowOff>80842</xdr:rowOff>
    </xdr:from>
    <xdr:to>
      <xdr:col>0</xdr:col>
      <xdr:colOff>1372169</xdr:colOff>
      <xdr:row>1419</xdr:row>
      <xdr:rowOff>68952</xdr:rowOff>
    </xdr:to>
    <xdr:pic>
      <xdr:nvPicPr>
        <xdr:cNvPr id="1655" name="Рисунок 1654">
          <a:extLst>
            <a:ext uri="{FF2B5EF4-FFF2-40B4-BE49-F238E27FC236}">
              <a16:creationId xmlns:a16="http://schemas.microsoft.com/office/drawing/2014/main" xmlns="" id="{00000000-0008-0000-00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20416077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1419</xdr:row>
      <xdr:rowOff>80842</xdr:rowOff>
    </xdr:from>
    <xdr:to>
      <xdr:col>0</xdr:col>
      <xdr:colOff>1372169</xdr:colOff>
      <xdr:row>1420</xdr:row>
      <xdr:rowOff>68952</xdr:rowOff>
    </xdr:to>
    <xdr:pic>
      <xdr:nvPicPr>
        <xdr:cNvPr id="1656" name="Рисунок 1655">
          <a:extLst>
            <a:ext uri="{FF2B5EF4-FFF2-40B4-BE49-F238E27FC236}">
              <a16:creationId xmlns:a16="http://schemas.microsoft.com/office/drawing/2014/main" xmlns="" id="{00000000-0008-0000-00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20920342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1420</xdr:row>
      <xdr:rowOff>80842</xdr:rowOff>
    </xdr:from>
    <xdr:to>
      <xdr:col>0</xdr:col>
      <xdr:colOff>1372169</xdr:colOff>
      <xdr:row>1421</xdr:row>
      <xdr:rowOff>68953</xdr:rowOff>
    </xdr:to>
    <xdr:pic>
      <xdr:nvPicPr>
        <xdr:cNvPr id="1657" name="Рисунок 1656">
          <a:extLst>
            <a:ext uri="{FF2B5EF4-FFF2-40B4-BE49-F238E27FC236}">
              <a16:creationId xmlns:a16="http://schemas.microsoft.com/office/drawing/2014/main" xmlns="" id="{00000000-0008-0000-00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21424607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1421</xdr:row>
      <xdr:rowOff>80842</xdr:rowOff>
    </xdr:from>
    <xdr:to>
      <xdr:col>0</xdr:col>
      <xdr:colOff>1372169</xdr:colOff>
      <xdr:row>1422</xdr:row>
      <xdr:rowOff>68952</xdr:rowOff>
    </xdr:to>
    <xdr:pic>
      <xdr:nvPicPr>
        <xdr:cNvPr id="1658" name="Рисунок 1657">
          <a:extLst>
            <a:ext uri="{FF2B5EF4-FFF2-40B4-BE49-F238E27FC236}">
              <a16:creationId xmlns:a16="http://schemas.microsoft.com/office/drawing/2014/main" xmlns="" id="{00000000-0008-0000-00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21928871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1422</xdr:row>
      <xdr:rowOff>80842</xdr:rowOff>
    </xdr:from>
    <xdr:to>
      <xdr:col>0</xdr:col>
      <xdr:colOff>1372169</xdr:colOff>
      <xdr:row>1423</xdr:row>
      <xdr:rowOff>68952</xdr:rowOff>
    </xdr:to>
    <xdr:pic>
      <xdr:nvPicPr>
        <xdr:cNvPr id="1659" name="Рисунок 1658">
          <a:extLst>
            <a:ext uri="{FF2B5EF4-FFF2-40B4-BE49-F238E27FC236}">
              <a16:creationId xmlns:a16="http://schemas.microsoft.com/office/drawing/2014/main" xmlns="" id="{00000000-0008-0000-00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22433136"/>
          <a:ext cx="610169" cy="492375"/>
        </a:xfrm>
        <a:prstGeom prst="rect">
          <a:avLst/>
        </a:prstGeom>
      </xdr:spPr>
    </xdr:pic>
    <xdr:clientData/>
  </xdr:twoCellAnchor>
  <xdr:twoCellAnchor>
    <xdr:from>
      <xdr:col>0</xdr:col>
      <xdr:colOff>840442</xdr:colOff>
      <xdr:row>1423</xdr:row>
      <xdr:rowOff>89647</xdr:rowOff>
    </xdr:from>
    <xdr:to>
      <xdr:col>0</xdr:col>
      <xdr:colOff>1560442</xdr:colOff>
      <xdr:row>1424</xdr:row>
      <xdr:rowOff>68232</xdr:rowOff>
    </xdr:to>
    <xdr:pic>
      <xdr:nvPicPr>
        <xdr:cNvPr id="1660" name="Рисунок 1659">
          <a:extLst>
            <a:ext uri="{FF2B5EF4-FFF2-40B4-BE49-F238E27FC236}">
              <a16:creationId xmlns:a16="http://schemas.microsoft.com/office/drawing/2014/main" xmlns="" id="{00000000-0008-0000-00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2" y="622946206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829236</xdr:colOff>
      <xdr:row>1424</xdr:row>
      <xdr:rowOff>89647</xdr:rowOff>
    </xdr:from>
    <xdr:to>
      <xdr:col>0</xdr:col>
      <xdr:colOff>1549236</xdr:colOff>
      <xdr:row>1425</xdr:row>
      <xdr:rowOff>68233</xdr:rowOff>
    </xdr:to>
    <xdr:pic>
      <xdr:nvPicPr>
        <xdr:cNvPr id="1661" name="Рисунок 1660">
          <a:extLst>
            <a:ext uri="{FF2B5EF4-FFF2-40B4-BE49-F238E27FC236}">
              <a16:creationId xmlns:a16="http://schemas.microsoft.com/office/drawing/2014/main" xmlns="" id="{00000000-0008-0000-00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36" y="623450471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818030</xdr:colOff>
      <xdr:row>1425</xdr:row>
      <xdr:rowOff>89647</xdr:rowOff>
    </xdr:from>
    <xdr:to>
      <xdr:col>0</xdr:col>
      <xdr:colOff>1538030</xdr:colOff>
      <xdr:row>1426</xdr:row>
      <xdr:rowOff>68232</xdr:rowOff>
    </xdr:to>
    <xdr:pic>
      <xdr:nvPicPr>
        <xdr:cNvPr id="1662" name="Рисунок 1661">
          <a:extLst>
            <a:ext uri="{FF2B5EF4-FFF2-40B4-BE49-F238E27FC236}">
              <a16:creationId xmlns:a16="http://schemas.microsoft.com/office/drawing/2014/main" xmlns="" id="{00000000-0008-0000-00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30" y="623954735"/>
          <a:ext cx="720000" cy="482850"/>
        </a:xfrm>
        <a:prstGeom prst="rect">
          <a:avLst/>
        </a:prstGeom>
      </xdr:spPr>
    </xdr:pic>
    <xdr:clientData/>
  </xdr:twoCellAnchor>
  <xdr:twoCellAnchor>
    <xdr:from>
      <xdr:col>0</xdr:col>
      <xdr:colOff>785812</xdr:colOff>
      <xdr:row>1427</xdr:row>
      <xdr:rowOff>91046</xdr:rowOff>
    </xdr:from>
    <xdr:to>
      <xdr:col>0</xdr:col>
      <xdr:colOff>1600906</xdr:colOff>
      <xdr:row>1428</xdr:row>
      <xdr:rowOff>69632</xdr:rowOff>
    </xdr:to>
    <xdr:pic>
      <xdr:nvPicPr>
        <xdr:cNvPr id="1663" name="Рисунок 1662" descr="SVT-P-UL-50W">
          <a:extLst>
            <a:ext uri="{FF2B5EF4-FFF2-40B4-BE49-F238E27FC236}">
              <a16:creationId xmlns:a16="http://schemas.microsoft.com/office/drawing/2014/main" xmlns="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812" y="624964664"/>
          <a:ext cx="815094" cy="48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773906</xdr:colOff>
      <xdr:row>1428</xdr:row>
      <xdr:rowOff>91047</xdr:rowOff>
    </xdr:from>
    <xdr:to>
      <xdr:col>0</xdr:col>
      <xdr:colOff>1583906</xdr:colOff>
      <xdr:row>1429</xdr:row>
      <xdr:rowOff>69632</xdr:rowOff>
    </xdr:to>
    <xdr:pic>
      <xdr:nvPicPr>
        <xdr:cNvPr id="1664" name="Рисунок 1663" descr="SVT-P-UL-70W">
          <a:extLst>
            <a:ext uri="{FF2B5EF4-FFF2-40B4-BE49-F238E27FC236}">
              <a16:creationId xmlns:a16="http://schemas.microsoft.com/office/drawing/2014/main" xmlns="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73906" y="625468929"/>
          <a:ext cx="810000" cy="48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785812</xdr:colOff>
      <xdr:row>1429</xdr:row>
      <xdr:rowOff>91047</xdr:rowOff>
    </xdr:from>
    <xdr:to>
      <xdr:col>0</xdr:col>
      <xdr:colOff>1595812</xdr:colOff>
      <xdr:row>1430</xdr:row>
      <xdr:rowOff>69632</xdr:rowOff>
    </xdr:to>
    <xdr:pic>
      <xdr:nvPicPr>
        <xdr:cNvPr id="1665" name="Рисунок 1664" descr="SVT-P-UL-100W">
          <a:extLst>
            <a:ext uri="{FF2B5EF4-FFF2-40B4-BE49-F238E27FC236}">
              <a16:creationId xmlns:a16="http://schemas.microsoft.com/office/drawing/2014/main" xmlns="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785812" y="625973194"/>
          <a:ext cx="810000" cy="48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821530</xdr:colOff>
      <xdr:row>1430</xdr:row>
      <xdr:rowOff>102953</xdr:rowOff>
    </xdr:from>
    <xdr:to>
      <xdr:col>0</xdr:col>
      <xdr:colOff>1541530</xdr:colOff>
      <xdr:row>1431</xdr:row>
      <xdr:rowOff>71453</xdr:rowOff>
    </xdr:to>
    <xdr:pic>
      <xdr:nvPicPr>
        <xdr:cNvPr id="1666" name="Рисунок 1665" descr="SVT-P-UL-150W-1M">
          <a:extLst>
            <a:ext uri="{FF2B5EF4-FFF2-40B4-BE49-F238E27FC236}">
              <a16:creationId xmlns:a16="http://schemas.microsoft.com/office/drawing/2014/main" xmlns="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530" y="626489365"/>
          <a:ext cx="720000" cy="4727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857251</xdr:colOff>
      <xdr:row>1426</xdr:row>
      <xdr:rowOff>86285</xdr:rowOff>
    </xdr:from>
    <xdr:to>
      <xdr:col>0</xdr:col>
      <xdr:colOff>1459042</xdr:colOff>
      <xdr:row>1427</xdr:row>
      <xdr:rowOff>64870</xdr:rowOff>
    </xdr:to>
    <xdr:pic>
      <xdr:nvPicPr>
        <xdr:cNvPr id="1667" name="Рисунок 1666">
          <a:extLst>
            <a:ext uri="{FF2B5EF4-FFF2-40B4-BE49-F238E27FC236}">
              <a16:creationId xmlns:a16="http://schemas.microsoft.com/office/drawing/2014/main" xmlns="" id="{00000000-0008-0000-00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624455638"/>
          <a:ext cx="601791" cy="482850"/>
        </a:xfrm>
        <a:prstGeom prst="rect">
          <a:avLst/>
        </a:prstGeom>
      </xdr:spPr>
    </xdr:pic>
    <xdr:clientData/>
  </xdr:twoCellAnchor>
  <xdr:twoCellAnchor>
    <xdr:from>
      <xdr:col>0</xdr:col>
      <xdr:colOff>833718</xdr:colOff>
      <xdr:row>1200</xdr:row>
      <xdr:rowOff>3361</xdr:rowOff>
    </xdr:from>
    <xdr:to>
      <xdr:col>0</xdr:col>
      <xdr:colOff>1443887</xdr:colOff>
      <xdr:row>1200</xdr:row>
      <xdr:rowOff>486212</xdr:rowOff>
    </xdr:to>
    <xdr:pic>
      <xdr:nvPicPr>
        <xdr:cNvPr id="1726" name="Рисунок 1725">
          <a:extLst>
            <a:ext uri="{FF2B5EF4-FFF2-40B4-BE49-F238E27FC236}">
              <a16:creationId xmlns:a16="http://schemas.microsoft.com/office/drawing/2014/main" xmlns="" id="{00000000-0008-0000-00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833718" y="14212420"/>
          <a:ext cx="610169" cy="482851"/>
        </a:xfrm>
        <a:prstGeom prst="rect">
          <a:avLst/>
        </a:prstGeom>
      </xdr:spPr>
    </xdr:pic>
    <xdr:clientData/>
  </xdr:twoCellAnchor>
  <xdr:twoCellAnchor>
    <xdr:from>
      <xdr:col>0</xdr:col>
      <xdr:colOff>526116</xdr:colOff>
      <xdr:row>412</xdr:row>
      <xdr:rowOff>392206</xdr:rowOff>
    </xdr:from>
    <xdr:to>
      <xdr:col>0</xdr:col>
      <xdr:colOff>2039469</xdr:colOff>
      <xdr:row>414</xdr:row>
      <xdr:rowOff>403411</xdr:rowOff>
    </xdr:to>
    <xdr:pic>
      <xdr:nvPicPr>
        <xdr:cNvPr id="1429" name="Рисунок 1428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10" t="6250" r="14550" b="7422"/>
        <a:stretch/>
      </xdr:blipFill>
      <xdr:spPr>
        <a:xfrm>
          <a:off x="526116" y="194119500"/>
          <a:ext cx="1513353" cy="10197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1109</xdr:row>
      <xdr:rowOff>217394</xdr:rowOff>
    </xdr:from>
    <xdr:to>
      <xdr:col>1</xdr:col>
      <xdr:colOff>376625</xdr:colOff>
      <xdr:row>1113</xdr:row>
      <xdr:rowOff>403412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42" t="6641" r="-1317" b="-6641"/>
        <a:stretch/>
      </xdr:blipFill>
      <xdr:spPr>
        <a:xfrm>
          <a:off x="0" y="26024541"/>
          <a:ext cx="2797096" cy="169881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1115</xdr:row>
      <xdr:rowOff>268943</xdr:rowOff>
    </xdr:from>
    <xdr:to>
      <xdr:col>1</xdr:col>
      <xdr:colOff>376626</xdr:colOff>
      <xdr:row>1119</xdr:row>
      <xdr:rowOff>454961</xdr:rowOff>
    </xdr:to>
    <xdr:pic>
      <xdr:nvPicPr>
        <xdr:cNvPr id="1442" name="Рисунок 1441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42" t="6641" r="-1317" b="-6641"/>
        <a:stretch/>
      </xdr:blipFill>
      <xdr:spPr>
        <a:xfrm>
          <a:off x="1" y="29101678"/>
          <a:ext cx="2797096" cy="16988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1119</xdr:row>
      <xdr:rowOff>29136</xdr:rowOff>
    </xdr:from>
    <xdr:to>
      <xdr:col>1</xdr:col>
      <xdr:colOff>376625</xdr:colOff>
      <xdr:row>1122</xdr:row>
      <xdr:rowOff>215154</xdr:rowOff>
    </xdr:to>
    <xdr:pic>
      <xdr:nvPicPr>
        <xdr:cNvPr id="1443" name="Рисунок 1442">
          <a:extLst>
            <a:ext uri="{FF2B5EF4-FFF2-40B4-BE49-F238E27FC236}">
              <a16:creationId xmlns:a16="http://schemas.microsoft.com/office/drawing/2014/main" xmlns="" id="{00000000-0008-0000-0000-0000A3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842" t="6641" r="-1317" b="-6641"/>
        <a:stretch/>
      </xdr:blipFill>
      <xdr:spPr>
        <a:xfrm>
          <a:off x="0" y="29870401"/>
          <a:ext cx="2797096" cy="16988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1130</xdr:row>
      <xdr:rowOff>0</xdr:rowOff>
    </xdr:from>
    <xdr:to>
      <xdr:col>0</xdr:col>
      <xdr:colOff>2361999</xdr:colOff>
      <xdr:row>1132</xdr:row>
      <xdr:rowOff>190500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0" y="35388176"/>
          <a:ext cx="2361999" cy="1199030"/>
        </a:xfrm>
        <a:prstGeom prst="rect">
          <a:avLst/>
        </a:prstGeom>
      </xdr:spPr>
    </xdr:pic>
    <xdr:clientData/>
  </xdr:twoCellAnchor>
  <xdr:twoCellAnchor>
    <xdr:from>
      <xdr:col>0</xdr:col>
      <xdr:colOff>100854</xdr:colOff>
      <xdr:row>1133</xdr:row>
      <xdr:rowOff>89647</xdr:rowOff>
    </xdr:from>
    <xdr:to>
      <xdr:col>0</xdr:col>
      <xdr:colOff>2398059</xdr:colOff>
      <xdr:row>1137</xdr:row>
      <xdr:rowOff>278141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00854" y="36990618"/>
          <a:ext cx="2297205" cy="2205553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1138</xdr:row>
      <xdr:rowOff>33618</xdr:rowOff>
    </xdr:from>
    <xdr:to>
      <xdr:col>0</xdr:col>
      <xdr:colOff>2349303</xdr:colOff>
      <xdr:row>1142</xdr:row>
      <xdr:rowOff>133911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67235" y="19285324"/>
          <a:ext cx="2282068" cy="21173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1143</xdr:row>
      <xdr:rowOff>0</xdr:rowOff>
    </xdr:from>
    <xdr:to>
      <xdr:col>0</xdr:col>
      <xdr:colOff>2402614</xdr:colOff>
      <xdr:row>1144</xdr:row>
      <xdr:rowOff>347382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41943618"/>
          <a:ext cx="2402614" cy="8516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1146</xdr:row>
      <xdr:rowOff>257736</xdr:rowOff>
    </xdr:from>
    <xdr:to>
      <xdr:col>0</xdr:col>
      <xdr:colOff>2375647</xdr:colOff>
      <xdr:row>1148</xdr:row>
      <xdr:rowOff>150546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0" y="43714148"/>
          <a:ext cx="2375647" cy="90133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1153</xdr:row>
      <xdr:rowOff>253254</xdr:rowOff>
    </xdr:from>
    <xdr:to>
      <xdr:col>0</xdr:col>
      <xdr:colOff>2375647</xdr:colOff>
      <xdr:row>1155</xdr:row>
      <xdr:rowOff>146063</xdr:rowOff>
    </xdr:to>
    <xdr:pic>
      <xdr:nvPicPr>
        <xdr:cNvPr id="1284" name="Рисунок 1283">
          <a:extLst>
            <a:ext uri="{FF2B5EF4-FFF2-40B4-BE49-F238E27FC236}">
              <a16:creationId xmlns:a16="http://schemas.microsoft.com/office/drawing/2014/main" xmlns="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0" y="47239519"/>
          <a:ext cx="2375647" cy="901339"/>
        </a:xfrm>
        <a:prstGeom prst="rect">
          <a:avLst/>
        </a:prstGeom>
      </xdr:spPr>
    </xdr:pic>
    <xdr:clientData/>
  </xdr:twoCellAnchor>
  <xdr:twoCellAnchor>
    <xdr:from>
      <xdr:col>0</xdr:col>
      <xdr:colOff>22411</xdr:colOff>
      <xdr:row>1125</xdr:row>
      <xdr:rowOff>0</xdr:rowOff>
    </xdr:from>
    <xdr:to>
      <xdr:col>0</xdr:col>
      <xdr:colOff>2319616</xdr:colOff>
      <xdr:row>1129</xdr:row>
      <xdr:rowOff>188494</xdr:rowOff>
    </xdr:to>
    <xdr:pic>
      <xdr:nvPicPr>
        <xdr:cNvPr id="1437" name="Рисунок 1436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2411" y="12696265"/>
          <a:ext cx="2297205" cy="22055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1149</xdr:row>
      <xdr:rowOff>499783</xdr:rowOff>
    </xdr:from>
    <xdr:to>
      <xdr:col>0</xdr:col>
      <xdr:colOff>2402614</xdr:colOff>
      <xdr:row>1151</xdr:row>
      <xdr:rowOff>342901</xdr:rowOff>
    </xdr:to>
    <xdr:pic>
      <xdr:nvPicPr>
        <xdr:cNvPr id="1445" name="Рисунок 1444">
          <a:extLst>
            <a:ext uri="{FF2B5EF4-FFF2-40B4-BE49-F238E27FC236}">
              <a16:creationId xmlns:a16="http://schemas.microsoft.com/office/drawing/2014/main" xmlns="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45468989"/>
          <a:ext cx="2402614" cy="851647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1158</xdr:row>
      <xdr:rowOff>443753</xdr:rowOff>
    </xdr:from>
    <xdr:to>
      <xdr:col>0</xdr:col>
      <xdr:colOff>2338097</xdr:colOff>
      <xdr:row>1163</xdr:row>
      <xdr:rowOff>39781</xdr:rowOff>
    </xdr:to>
    <xdr:pic>
      <xdr:nvPicPr>
        <xdr:cNvPr id="1469" name="Рисунок 1468">
          <a:extLst>
            <a:ext uri="{FF2B5EF4-FFF2-40B4-BE49-F238E27FC236}">
              <a16:creationId xmlns:a16="http://schemas.microsoft.com/office/drawing/2014/main" xmlns="" id="{00000000-0008-0000-00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6029" y="29780753"/>
          <a:ext cx="2282068" cy="2117352"/>
        </a:xfrm>
        <a:prstGeom prst="rect">
          <a:avLst/>
        </a:prstGeom>
      </xdr:spPr>
    </xdr:pic>
    <xdr:clientData/>
  </xdr:twoCellAnchor>
  <xdr:twoCellAnchor>
    <xdr:from>
      <xdr:col>0</xdr:col>
      <xdr:colOff>722777</xdr:colOff>
      <xdr:row>19</xdr:row>
      <xdr:rowOff>414618</xdr:rowOff>
    </xdr:from>
    <xdr:to>
      <xdr:col>0</xdr:col>
      <xdr:colOff>2238474</xdr:colOff>
      <xdr:row>21</xdr:row>
      <xdr:rowOff>469735</xdr:rowOff>
    </xdr:to>
    <xdr:pic>
      <xdr:nvPicPr>
        <xdr:cNvPr id="1440" name="Рисунок 1439">
          <a:extLst>
            <a:ext uri="{FF2B5EF4-FFF2-40B4-BE49-F238E27FC236}">
              <a16:creationId xmlns:a16="http://schemas.microsoft.com/office/drawing/2014/main" xmlns="" id="{00000000-0008-0000-0000-0000A0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0" t="10156" r="15039" b="11719"/>
        <a:stretch/>
      </xdr:blipFill>
      <xdr:spPr>
        <a:xfrm>
          <a:off x="722777" y="10085294"/>
          <a:ext cx="1515697" cy="1063647"/>
        </a:xfrm>
        <a:prstGeom prst="rect">
          <a:avLst/>
        </a:prstGeom>
      </xdr:spPr>
    </xdr:pic>
    <xdr:clientData/>
  </xdr:twoCellAnchor>
  <xdr:twoCellAnchor>
    <xdr:from>
      <xdr:col>0</xdr:col>
      <xdr:colOff>709705</xdr:colOff>
      <xdr:row>1375</xdr:row>
      <xdr:rowOff>43579</xdr:rowOff>
    </xdr:from>
    <xdr:to>
      <xdr:col>0</xdr:col>
      <xdr:colOff>1376455</xdr:colOff>
      <xdr:row>1376</xdr:row>
      <xdr:rowOff>35642</xdr:rowOff>
    </xdr:to>
    <xdr:pic>
      <xdr:nvPicPr>
        <xdr:cNvPr id="1468" name="Рисунок 1467">
          <a:extLst>
            <a:ext uri="{FF2B5EF4-FFF2-40B4-BE49-F238E27FC236}">
              <a16:creationId xmlns:a16="http://schemas.microsoft.com/office/drawing/2014/main" xmlns="" id="{00000000-0008-0000-00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05" y="592139991"/>
          <a:ext cx="666750" cy="496327"/>
        </a:xfrm>
        <a:prstGeom prst="rect">
          <a:avLst/>
        </a:prstGeom>
      </xdr:spPr>
    </xdr:pic>
    <xdr:clientData/>
  </xdr:twoCellAnchor>
  <xdr:twoCellAnchor>
    <xdr:from>
      <xdr:col>0</xdr:col>
      <xdr:colOff>699122</xdr:colOff>
      <xdr:row>1376</xdr:row>
      <xdr:rowOff>64745</xdr:rowOff>
    </xdr:from>
    <xdr:to>
      <xdr:col>0</xdr:col>
      <xdr:colOff>1316433</xdr:colOff>
      <xdr:row>1377</xdr:row>
      <xdr:rowOff>15564</xdr:rowOff>
    </xdr:to>
    <xdr:pic>
      <xdr:nvPicPr>
        <xdr:cNvPr id="1470" name="Рисунок 1469">
          <a:extLst>
            <a:ext uri="{FF2B5EF4-FFF2-40B4-BE49-F238E27FC236}">
              <a16:creationId xmlns:a16="http://schemas.microsoft.com/office/drawing/2014/main" xmlns="" id="{00000000-0008-0000-0000-0000BE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0" t="7959" r="14008" b="13917"/>
        <a:stretch/>
      </xdr:blipFill>
      <xdr:spPr>
        <a:xfrm>
          <a:off x="699122" y="592665421"/>
          <a:ext cx="617311" cy="455084"/>
        </a:xfrm>
        <a:prstGeom prst="rect">
          <a:avLst/>
        </a:prstGeom>
      </xdr:spPr>
    </xdr:pic>
    <xdr:clientData/>
  </xdr:twoCellAnchor>
  <xdr:twoCellAnchor>
    <xdr:from>
      <xdr:col>0</xdr:col>
      <xdr:colOff>800101</xdr:colOff>
      <xdr:row>1376</xdr:row>
      <xdr:rowOff>172009</xdr:rowOff>
    </xdr:from>
    <xdr:to>
      <xdr:col>0</xdr:col>
      <xdr:colOff>1692089</xdr:colOff>
      <xdr:row>1377</xdr:row>
      <xdr:rowOff>67795</xdr:rowOff>
    </xdr:to>
    <xdr:pic>
      <xdr:nvPicPr>
        <xdr:cNvPr id="1471" name="Рисунок 1470">
          <a:extLst>
            <a:ext uri="{FF2B5EF4-FFF2-40B4-BE49-F238E27FC236}">
              <a16:creationId xmlns:a16="http://schemas.microsoft.com/office/drawing/2014/main" xmlns="" id="{00000000-0008-0000-00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659335627"/>
          <a:ext cx="891988" cy="400050"/>
        </a:xfrm>
        <a:prstGeom prst="rect">
          <a:avLst/>
        </a:prstGeom>
      </xdr:spPr>
    </xdr:pic>
    <xdr:clientData/>
  </xdr:twoCellAnchor>
  <xdr:twoCellAnchor>
    <xdr:from>
      <xdr:col>0</xdr:col>
      <xdr:colOff>709705</xdr:colOff>
      <xdr:row>1376</xdr:row>
      <xdr:rowOff>43579</xdr:rowOff>
    </xdr:from>
    <xdr:to>
      <xdr:col>0</xdr:col>
      <xdr:colOff>1376455</xdr:colOff>
      <xdr:row>1377</xdr:row>
      <xdr:rowOff>35642</xdr:rowOff>
    </xdr:to>
    <xdr:pic>
      <xdr:nvPicPr>
        <xdr:cNvPr id="1472" name="Рисунок 1471">
          <a:extLst>
            <a:ext uri="{FF2B5EF4-FFF2-40B4-BE49-F238E27FC236}">
              <a16:creationId xmlns:a16="http://schemas.microsoft.com/office/drawing/2014/main" xmlns="" id="{00000000-0008-0000-00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05" y="659207197"/>
          <a:ext cx="666750" cy="496327"/>
        </a:xfrm>
        <a:prstGeom prst="rect">
          <a:avLst/>
        </a:prstGeom>
      </xdr:spPr>
    </xdr:pic>
    <xdr:clientData/>
  </xdr:twoCellAnchor>
  <xdr:twoCellAnchor>
    <xdr:from>
      <xdr:col>0</xdr:col>
      <xdr:colOff>699122</xdr:colOff>
      <xdr:row>1377</xdr:row>
      <xdr:rowOff>64745</xdr:rowOff>
    </xdr:from>
    <xdr:to>
      <xdr:col>0</xdr:col>
      <xdr:colOff>1316433</xdr:colOff>
      <xdr:row>1378</xdr:row>
      <xdr:rowOff>15564</xdr:rowOff>
    </xdr:to>
    <xdr:pic>
      <xdr:nvPicPr>
        <xdr:cNvPr id="1473" name="Рисунок 1472">
          <a:extLst>
            <a:ext uri="{FF2B5EF4-FFF2-40B4-BE49-F238E27FC236}">
              <a16:creationId xmlns:a16="http://schemas.microsoft.com/office/drawing/2014/main" xmlns="" id="{00000000-0008-0000-0000-0000C1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0" t="7959" r="14008" b="13917"/>
        <a:stretch/>
      </xdr:blipFill>
      <xdr:spPr>
        <a:xfrm>
          <a:off x="699122" y="659732627"/>
          <a:ext cx="617311" cy="455084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1378</xdr:row>
      <xdr:rowOff>11206</xdr:rowOff>
    </xdr:from>
    <xdr:to>
      <xdr:col>0</xdr:col>
      <xdr:colOff>1583206</xdr:colOff>
      <xdr:row>1378</xdr:row>
      <xdr:rowOff>494056</xdr:rowOff>
    </xdr:to>
    <xdr:pic>
      <xdr:nvPicPr>
        <xdr:cNvPr id="1474" name="Рисунок 1473">
          <a:extLst>
            <a:ext uri="{FF2B5EF4-FFF2-40B4-BE49-F238E27FC236}">
              <a16:creationId xmlns:a16="http://schemas.microsoft.com/office/drawing/2014/main" xmlns="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256267324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699122</xdr:colOff>
      <xdr:row>1378</xdr:row>
      <xdr:rowOff>64745</xdr:rowOff>
    </xdr:from>
    <xdr:to>
      <xdr:col>0</xdr:col>
      <xdr:colOff>1316433</xdr:colOff>
      <xdr:row>1379</xdr:row>
      <xdr:rowOff>15564</xdr:rowOff>
    </xdr:to>
    <xdr:pic>
      <xdr:nvPicPr>
        <xdr:cNvPr id="1475" name="Рисунок 1474">
          <a:extLst>
            <a:ext uri="{FF2B5EF4-FFF2-40B4-BE49-F238E27FC236}">
              <a16:creationId xmlns:a16="http://schemas.microsoft.com/office/drawing/2014/main" xmlns="" id="{00000000-0008-0000-0000-0000C3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0" t="7959" r="14008" b="13917"/>
        <a:stretch/>
      </xdr:blipFill>
      <xdr:spPr>
        <a:xfrm>
          <a:off x="699122" y="573503363"/>
          <a:ext cx="617311" cy="455083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1379</xdr:row>
      <xdr:rowOff>11206</xdr:rowOff>
    </xdr:from>
    <xdr:to>
      <xdr:col>0</xdr:col>
      <xdr:colOff>1583206</xdr:colOff>
      <xdr:row>1379</xdr:row>
      <xdr:rowOff>494056</xdr:rowOff>
    </xdr:to>
    <xdr:pic>
      <xdr:nvPicPr>
        <xdr:cNvPr id="1476" name="Рисунок 1475">
          <a:extLst>
            <a:ext uri="{FF2B5EF4-FFF2-40B4-BE49-F238E27FC236}">
              <a16:creationId xmlns:a16="http://schemas.microsoft.com/office/drawing/2014/main" xmlns="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573954088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730820</xdr:colOff>
      <xdr:row>1382</xdr:row>
      <xdr:rowOff>38977</xdr:rowOff>
    </xdr:from>
    <xdr:to>
      <xdr:col>0</xdr:col>
      <xdr:colOff>1540820</xdr:colOff>
      <xdr:row>1383</xdr:row>
      <xdr:rowOff>8037</xdr:rowOff>
    </xdr:to>
    <xdr:pic>
      <xdr:nvPicPr>
        <xdr:cNvPr id="1477" name="Рисунок 1476">
          <a:extLst>
            <a:ext uri="{FF2B5EF4-FFF2-40B4-BE49-F238E27FC236}">
              <a16:creationId xmlns:a16="http://schemas.microsoft.com/office/drawing/2014/main" xmlns="" id="{00000000-0008-0000-00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820" y="527589506"/>
          <a:ext cx="810000" cy="473325"/>
        </a:xfrm>
        <a:prstGeom prst="rect">
          <a:avLst/>
        </a:prstGeom>
      </xdr:spPr>
    </xdr:pic>
    <xdr:clientData/>
  </xdr:twoCellAnchor>
  <xdr:twoCellAnchor>
    <xdr:from>
      <xdr:col>0</xdr:col>
      <xdr:colOff>730820</xdr:colOff>
      <xdr:row>1383</xdr:row>
      <xdr:rowOff>38977</xdr:rowOff>
    </xdr:from>
    <xdr:to>
      <xdr:col>0</xdr:col>
      <xdr:colOff>1540820</xdr:colOff>
      <xdr:row>1384</xdr:row>
      <xdr:rowOff>8037</xdr:rowOff>
    </xdr:to>
    <xdr:pic>
      <xdr:nvPicPr>
        <xdr:cNvPr id="1478" name="Рисунок 1477">
          <a:extLst>
            <a:ext uri="{FF2B5EF4-FFF2-40B4-BE49-F238E27FC236}">
              <a16:creationId xmlns:a16="http://schemas.microsoft.com/office/drawing/2014/main" xmlns="" id="{00000000-0008-0000-00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820" y="575998918"/>
          <a:ext cx="810000" cy="473325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1383</xdr:row>
      <xdr:rowOff>44824</xdr:rowOff>
    </xdr:from>
    <xdr:to>
      <xdr:col>0</xdr:col>
      <xdr:colOff>1403752</xdr:colOff>
      <xdr:row>1384</xdr:row>
      <xdr:rowOff>23409</xdr:rowOff>
    </xdr:to>
    <xdr:pic>
      <xdr:nvPicPr>
        <xdr:cNvPr id="1479" name="Рисунок 1478">
          <a:extLst>
            <a:ext uri="{FF2B5EF4-FFF2-40B4-BE49-F238E27FC236}">
              <a16:creationId xmlns:a16="http://schemas.microsoft.com/office/drawing/2014/main" xmlns="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808"/>
        <a:stretch>
          <a:fillRect/>
        </a:stretch>
      </xdr:blipFill>
      <xdr:spPr>
        <a:xfrm>
          <a:off x="605117" y="140824324"/>
          <a:ext cx="798635" cy="482850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1384</xdr:row>
      <xdr:rowOff>79562</xdr:rowOff>
    </xdr:from>
    <xdr:to>
      <xdr:col>0</xdr:col>
      <xdr:colOff>1415111</xdr:colOff>
      <xdr:row>1385</xdr:row>
      <xdr:rowOff>24248</xdr:rowOff>
    </xdr:to>
    <xdr:pic>
      <xdr:nvPicPr>
        <xdr:cNvPr id="1480" name="Рисунок 1479">
          <a:extLst>
            <a:ext uri="{FF2B5EF4-FFF2-40B4-BE49-F238E27FC236}">
              <a16:creationId xmlns:a16="http://schemas.microsoft.com/office/drawing/2014/main" xmlns="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141363327"/>
          <a:ext cx="832406" cy="448950"/>
        </a:xfrm>
        <a:prstGeom prst="rect">
          <a:avLst/>
        </a:prstGeom>
      </xdr:spPr>
    </xdr:pic>
    <xdr:clientData/>
  </xdr:twoCellAnchor>
  <xdr:twoCellAnchor>
    <xdr:from>
      <xdr:col>0</xdr:col>
      <xdr:colOff>730820</xdr:colOff>
      <xdr:row>1384</xdr:row>
      <xdr:rowOff>38977</xdr:rowOff>
    </xdr:from>
    <xdr:to>
      <xdr:col>0</xdr:col>
      <xdr:colOff>1540820</xdr:colOff>
      <xdr:row>1385</xdr:row>
      <xdr:rowOff>8037</xdr:rowOff>
    </xdr:to>
    <xdr:pic>
      <xdr:nvPicPr>
        <xdr:cNvPr id="1481" name="Рисунок 1480">
          <a:extLst>
            <a:ext uri="{FF2B5EF4-FFF2-40B4-BE49-F238E27FC236}">
              <a16:creationId xmlns:a16="http://schemas.microsoft.com/office/drawing/2014/main" xmlns="" id="{00000000-0008-0000-00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820" y="208389948"/>
          <a:ext cx="810000" cy="473324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1384</xdr:row>
      <xdr:rowOff>44824</xdr:rowOff>
    </xdr:from>
    <xdr:to>
      <xdr:col>0</xdr:col>
      <xdr:colOff>1403752</xdr:colOff>
      <xdr:row>1385</xdr:row>
      <xdr:rowOff>23409</xdr:rowOff>
    </xdr:to>
    <xdr:pic>
      <xdr:nvPicPr>
        <xdr:cNvPr id="1482" name="Рисунок 1481">
          <a:extLst>
            <a:ext uri="{FF2B5EF4-FFF2-40B4-BE49-F238E27FC236}">
              <a16:creationId xmlns:a16="http://schemas.microsoft.com/office/drawing/2014/main" xmlns="" id="{00000000-0008-0000-00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808"/>
        <a:stretch>
          <a:fillRect/>
        </a:stretch>
      </xdr:blipFill>
      <xdr:spPr>
        <a:xfrm>
          <a:off x="605117" y="208395795"/>
          <a:ext cx="798635" cy="482849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1385</xdr:row>
      <xdr:rowOff>79562</xdr:rowOff>
    </xdr:from>
    <xdr:to>
      <xdr:col>0</xdr:col>
      <xdr:colOff>1415111</xdr:colOff>
      <xdr:row>1386</xdr:row>
      <xdr:rowOff>24248</xdr:rowOff>
    </xdr:to>
    <xdr:pic>
      <xdr:nvPicPr>
        <xdr:cNvPr id="1483" name="Рисунок 1482">
          <a:extLst>
            <a:ext uri="{FF2B5EF4-FFF2-40B4-BE49-F238E27FC236}">
              <a16:creationId xmlns:a16="http://schemas.microsoft.com/office/drawing/2014/main" xmlns="" id="{00000000-0008-0000-00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208934797"/>
          <a:ext cx="832406" cy="448951"/>
        </a:xfrm>
        <a:prstGeom prst="rect">
          <a:avLst/>
        </a:prstGeom>
      </xdr:spPr>
    </xdr:pic>
    <xdr:clientData/>
  </xdr:twoCellAnchor>
  <xdr:twoCellAnchor>
    <xdr:from>
      <xdr:col>0</xdr:col>
      <xdr:colOff>755887</xdr:colOff>
      <xdr:row>1385</xdr:row>
      <xdr:rowOff>48390</xdr:rowOff>
    </xdr:from>
    <xdr:to>
      <xdr:col>0</xdr:col>
      <xdr:colOff>1203778</xdr:colOff>
      <xdr:row>1386</xdr:row>
      <xdr:rowOff>26976</xdr:rowOff>
    </xdr:to>
    <xdr:pic>
      <xdr:nvPicPr>
        <xdr:cNvPr id="1484" name="Рисунок 1483">
          <a:extLst>
            <a:ext uri="{FF2B5EF4-FFF2-40B4-BE49-F238E27FC236}">
              <a16:creationId xmlns:a16="http://schemas.microsoft.com/office/drawing/2014/main" xmlns="" id="{00000000-0008-0000-00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887" y="147887596"/>
          <a:ext cx="447891" cy="482851"/>
        </a:xfrm>
        <a:prstGeom prst="rect">
          <a:avLst/>
        </a:prstGeom>
      </xdr:spPr>
    </xdr:pic>
    <xdr:clientData/>
  </xdr:twoCellAnchor>
  <xdr:twoCellAnchor>
    <xdr:from>
      <xdr:col>0</xdr:col>
      <xdr:colOff>761083</xdr:colOff>
      <xdr:row>1386</xdr:row>
      <xdr:rowOff>44926</xdr:rowOff>
    </xdr:from>
    <xdr:to>
      <xdr:col>0</xdr:col>
      <xdr:colOff>1208974</xdr:colOff>
      <xdr:row>1387</xdr:row>
      <xdr:rowOff>23511</xdr:rowOff>
    </xdr:to>
    <xdr:pic>
      <xdr:nvPicPr>
        <xdr:cNvPr id="1485" name="Рисунок 1484">
          <a:extLst>
            <a:ext uri="{FF2B5EF4-FFF2-40B4-BE49-F238E27FC236}">
              <a16:creationId xmlns:a16="http://schemas.microsoft.com/office/drawing/2014/main" xmlns="" id="{00000000-0008-0000-00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83" y="148388397"/>
          <a:ext cx="447891" cy="482849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1386</xdr:row>
      <xdr:rowOff>79562</xdr:rowOff>
    </xdr:from>
    <xdr:to>
      <xdr:col>0</xdr:col>
      <xdr:colOff>1415111</xdr:colOff>
      <xdr:row>1387</xdr:row>
      <xdr:rowOff>24248</xdr:rowOff>
    </xdr:to>
    <xdr:pic>
      <xdr:nvPicPr>
        <xdr:cNvPr id="1486" name="Рисунок 1485">
          <a:extLst>
            <a:ext uri="{FF2B5EF4-FFF2-40B4-BE49-F238E27FC236}">
              <a16:creationId xmlns:a16="http://schemas.microsoft.com/office/drawing/2014/main" xmlns="" id="{00000000-0008-0000-00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209439062"/>
          <a:ext cx="832406" cy="448951"/>
        </a:xfrm>
        <a:prstGeom prst="rect">
          <a:avLst/>
        </a:prstGeom>
      </xdr:spPr>
    </xdr:pic>
    <xdr:clientData/>
  </xdr:twoCellAnchor>
  <xdr:twoCellAnchor>
    <xdr:from>
      <xdr:col>0</xdr:col>
      <xdr:colOff>755887</xdr:colOff>
      <xdr:row>1386</xdr:row>
      <xdr:rowOff>48390</xdr:rowOff>
    </xdr:from>
    <xdr:to>
      <xdr:col>0</xdr:col>
      <xdr:colOff>1203778</xdr:colOff>
      <xdr:row>1387</xdr:row>
      <xdr:rowOff>26976</xdr:rowOff>
    </xdr:to>
    <xdr:pic>
      <xdr:nvPicPr>
        <xdr:cNvPr id="1487" name="Рисунок 1486">
          <a:extLst>
            <a:ext uri="{FF2B5EF4-FFF2-40B4-BE49-F238E27FC236}">
              <a16:creationId xmlns:a16="http://schemas.microsoft.com/office/drawing/2014/main" xmlns="" id="{00000000-0008-0000-00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887" y="209407890"/>
          <a:ext cx="447891" cy="482851"/>
        </a:xfrm>
        <a:prstGeom prst="rect">
          <a:avLst/>
        </a:prstGeom>
      </xdr:spPr>
    </xdr:pic>
    <xdr:clientData/>
  </xdr:twoCellAnchor>
  <xdr:twoCellAnchor>
    <xdr:from>
      <xdr:col>0</xdr:col>
      <xdr:colOff>761083</xdr:colOff>
      <xdr:row>1387</xdr:row>
      <xdr:rowOff>44926</xdr:rowOff>
    </xdr:from>
    <xdr:to>
      <xdr:col>0</xdr:col>
      <xdr:colOff>1208974</xdr:colOff>
      <xdr:row>1388</xdr:row>
      <xdr:rowOff>23511</xdr:rowOff>
    </xdr:to>
    <xdr:pic>
      <xdr:nvPicPr>
        <xdr:cNvPr id="1488" name="Рисунок 1487">
          <a:extLst>
            <a:ext uri="{FF2B5EF4-FFF2-40B4-BE49-F238E27FC236}">
              <a16:creationId xmlns:a16="http://schemas.microsoft.com/office/drawing/2014/main" xmlns="" id="{00000000-0008-0000-00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83" y="209908691"/>
          <a:ext cx="447891" cy="482849"/>
        </a:xfrm>
        <a:prstGeom prst="rect">
          <a:avLst/>
        </a:prstGeom>
      </xdr:spPr>
    </xdr:pic>
    <xdr:clientData/>
  </xdr:twoCellAnchor>
  <xdr:twoCellAnchor>
    <xdr:from>
      <xdr:col>0</xdr:col>
      <xdr:colOff>709705</xdr:colOff>
      <xdr:row>1388</xdr:row>
      <xdr:rowOff>43579</xdr:rowOff>
    </xdr:from>
    <xdr:to>
      <xdr:col>0</xdr:col>
      <xdr:colOff>1376455</xdr:colOff>
      <xdr:row>1389</xdr:row>
      <xdr:rowOff>35642</xdr:rowOff>
    </xdr:to>
    <xdr:pic>
      <xdr:nvPicPr>
        <xdr:cNvPr id="1489" name="Рисунок 1488">
          <a:extLst>
            <a:ext uri="{FF2B5EF4-FFF2-40B4-BE49-F238E27FC236}">
              <a16:creationId xmlns:a16="http://schemas.microsoft.com/office/drawing/2014/main" xmlns="" id="{00000000-0008-0000-00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05" y="137293226"/>
          <a:ext cx="666750" cy="496328"/>
        </a:xfrm>
        <a:prstGeom prst="rect">
          <a:avLst/>
        </a:prstGeom>
      </xdr:spPr>
    </xdr:pic>
    <xdr:clientData/>
  </xdr:twoCellAnchor>
  <xdr:twoCellAnchor>
    <xdr:from>
      <xdr:col>0</xdr:col>
      <xdr:colOff>699121</xdr:colOff>
      <xdr:row>1387</xdr:row>
      <xdr:rowOff>64746</xdr:rowOff>
    </xdr:from>
    <xdr:to>
      <xdr:col>0</xdr:col>
      <xdr:colOff>1316432</xdr:colOff>
      <xdr:row>1388</xdr:row>
      <xdr:rowOff>15564</xdr:rowOff>
    </xdr:to>
    <xdr:pic>
      <xdr:nvPicPr>
        <xdr:cNvPr id="1490" name="Рисунок 1489">
          <a:extLst>
            <a:ext uri="{FF2B5EF4-FFF2-40B4-BE49-F238E27FC236}">
              <a16:creationId xmlns:a16="http://schemas.microsoft.com/office/drawing/2014/main" xmlns="" id="{00000000-0008-0000-0000-0000D2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0" t="7959" r="14008" b="13917"/>
        <a:stretch/>
      </xdr:blipFill>
      <xdr:spPr>
        <a:xfrm>
          <a:off x="699121" y="136810128"/>
          <a:ext cx="617311" cy="455083"/>
        </a:xfrm>
        <a:prstGeom prst="rect">
          <a:avLst/>
        </a:prstGeom>
      </xdr:spPr>
    </xdr:pic>
    <xdr:clientData/>
  </xdr:twoCellAnchor>
  <xdr:twoCellAnchor>
    <xdr:from>
      <xdr:col>0</xdr:col>
      <xdr:colOff>800101</xdr:colOff>
      <xdr:row>1387</xdr:row>
      <xdr:rowOff>172009</xdr:rowOff>
    </xdr:from>
    <xdr:to>
      <xdr:col>0</xdr:col>
      <xdr:colOff>1692089</xdr:colOff>
      <xdr:row>1388</xdr:row>
      <xdr:rowOff>67795</xdr:rowOff>
    </xdr:to>
    <xdr:pic>
      <xdr:nvPicPr>
        <xdr:cNvPr id="1491" name="Рисунок 1490">
          <a:extLst>
            <a:ext uri="{FF2B5EF4-FFF2-40B4-BE49-F238E27FC236}">
              <a16:creationId xmlns:a16="http://schemas.microsoft.com/office/drawing/2014/main" xmlns="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204488862"/>
          <a:ext cx="891988" cy="400051"/>
        </a:xfrm>
        <a:prstGeom prst="rect">
          <a:avLst/>
        </a:prstGeom>
      </xdr:spPr>
    </xdr:pic>
    <xdr:clientData/>
  </xdr:twoCellAnchor>
  <xdr:twoCellAnchor>
    <xdr:from>
      <xdr:col>0</xdr:col>
      <xdr:colOff>709705</xdr:colOff>
      <xdr:row>1387</xdr:row>
      <xdr:rowOff>43579</xdr:rowOff>
    </xdr:from>
    <xdr:to>
      <xdr:col>0</xdr:col>
      <xdr:colOff>1376455</xdr:colOff>
      <xdr:row>1388</xdr:row>
      <xdr:rowOff>35642</xdr:rowOff>
    </xdr:to>
    <xdr:pic>
      <xdr:nvPicPr>
        <xdr:cNvPr id="1492" name="Рисунок 1491">
          <a:extLst>
            <a:ext uri="{FF2B5EF4-FFF2-40B4-BE49-F238E27FC236}">
              <a16:creationId xmlns:a16="http://schemas.microsoft.com/office/drawing/2014/main" xmlns="" id="{00000000-0008-0000-00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05" y="204360432"/>
          <a:ext cx="666750" cy="496328"/>
        </a:xfrm>
        <a:prstGeom prst="rect">
          <a:avLst/>
        </a:prstGeom>
      </xdr:spPr>
    </xdr:pic>
    <xdr:clientData/>
  </xdr:twoCellAnchor>
  <xdr:twoCellAnchor>
    <xdr:from>
      <xdr:col>0</xdr:col>
      <xdr:colOff>699122</xdr:colOff>
      <xdr:row>1388</xdr:row>
      <xdr:rowOff>64745</xdr:rowOff>
    </xdr:from>
    <xdr:to>
      <xdr:col>0</xdr:col>
      <xdr:colOff>1316433</xdr:colOff>
      <xdr:row>1389</xdr:row>
      <xdr:rowOff>15564</xdr:rowOff>
    </xdr:to>
    <xdr:pic>
      <xdr:nvPicPr>
        <xdr:cNvPr id="1493" name="Рисунок 1492">
          <a:extLst>
            <a:ext uri="{FF2B5EF4-FFF2-40B4-BE49-F238E27FC236}">
              <a16:creationId xmlns:a16="http://schemas.microsoft.com/office/drawing/2014/main" xmlns="" id="{00000000-0008-0000-0000-0000D5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0" t="7959" r="14008" b="13917"/>
        <a:stretch/>
      </xdr:blipFill>
      <xdr:spPr>
        <a:xfrm>
          <a:off x="699122" y="204885863"/>
          <a:ext cx="617311" cy="455083"/>
        </a:xfrm>
        <a:prstGeom prst="rect">
          <a:avLst/>
        </a:prstGeom>
      </xdr:spPr>
    </xdr:pic>
    <xdr:clientData/>
  </xdr:twoCellAnchor>
  <xdr:twoCellAnchor>
    <xdr:from>
      <xdr:col>0</xdr:col>
      <xdr:colOff>800101</xdr:colOff>
      <xdr:row>1388</xdr:row>
      <xdr:rowOff>172009</xdr:rowOff>
    </xdr:from>
    <xdr:to>
      <xdr:col>0</xdr:col>
      <xdr:colOff>1692089</xdr:colOff>
      <xdr:row>1389</xdr:row>
      <xdr:rowOff>67795</xdr:rowOff>
    </xdr:to>
    <xdr:pic>
      <xdr:nvPicPr>
        <xdr:cNvPr id="1494" name="Рисунок 1493">
          <a:extLst>
            <a:ext uri="{FF2B5EF4-FFF2-40B4-BE49-F238E27FC236}">
              <a16:creationId xmlns:a16="http://schemas.microsoft.com/office/drawing/2014/main" xmlns="" id="{00000000-0008-0000-00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204993127"/>
          <a:ext cx="891988" cy="400050"/>
        </a:xfrm>
        <a:prstGeom prst="rect">
          <a:avLst/>
        </a:prstGeom>
      </xdr:spPr>
    </xdr:pic>
    <xdr:clientData/>
  </xdr:twoCellAnchor>
  <xdr:twoCellAnchor>
    <xdr:from>
      <xdr:col>0</xdr:col>
      <xdr:colOff>709705</xdr:colOff>
      <xdr:row>1388</xdr:row>
      <xdr:rowOff>43579</xdr:rowOff>
    </xdr:from>
    <xdr:to>
      <xdr:col>0</xdr:col>
      <xdr:colOff>1376455</xdr:colOff>
      <xdr:row>1389</xdr:row>
      <xdr:rowOff>35642</xdr:rowOff>
    </xdr:to>
    <xdr:pic>
      <xdr:nvPicPr>
        <xdr:cNvPr id="1495" name="Рисунок 1494">
          <a:extLst>
            <a:ext uri="{FF2B5EF4-FFF2-40B4-BE49-F238E27FC236}">
              <a16:creationId xmlns:a16="http://schemas.microsoft.com/office/drawing/2014/main" xmlns="" id="{00000000-0008-0000-00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05" y="204864697"/>
          <a:ext cx="666750" cy="496327"/>
        </a:xfrm>
        <a:prstGeom prst="rect">
          <a:avLst/>
        </a:prstGeom>
      </xdr:spPr>
    </xdr:pic>
    <xdr:clientData/>
  </xdr:twoCellAnchor>
  <xdr:twoCellAnchor>
    <xdr:from>
      <xdr:col>0</xdr:col>
      <xdr:colOff>699122</xdr:colOff>
      <xdr:row>1388</xdr:row>
      <xdr:rowOff>64745</xdr:rowOff>
    </xdr:from>
    <xdr:to>
      <xdr:col>0</xdr:col>
      <xdr:colOff>1316433</xdr:colOff>
      <xdr:row>1389</xdr:row>
      <xdr:rowOff>15564</xdr:rowOff>
    </xdr:to>
    <xdr:pic>
      <xdr:nvPicPr>
        <xdr:cNvPr id="1496" name="Рисунок 1495">
          <a:extLst>
            <a:ext uri="{FF2B5EF4-FFF2-40B4-BE49-F238E27FC236}">
              <a16:creationId xmlns:a16="http://schemas.microsoft.com/office/drawing/2014/main" xmlns="" id="{00000000-0008-0000-0000-0000D8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0" t="7959" r="14008" b="13917"/>
        <a:stretch/>
      </xdr:blipFill>
      <xdr:spPr>
        <a:xfrm>
          <a:off x="699122" y="204885863"/>
          <a:ext cx="617311" cy="455083"/>
        </a:xfrm>
        <a:prstGeom prst="rect">
          <a:avLst/>
        </a:prstGeom>
      </xdr:spPr>
    </xdr:pic>
    <xdr:clientData/>
  </xdr:twoCellAnchor>
  <xdr:twoCellAnchor>
    <xdr:from>
      <xdr:col>0</xdr:col>
      <xdr:colOff>800101</xdr:colOff>
      <xdr:row>1388</xdr:row>
      <xdr:rowOff>172009</xdr:rowOff>
    </xdr:from>
    <xdr:to>
      <xdr:col>0</xdr:col>
      <xdr:colOff>1692089</xdr:colOff>
      <xdr:row>1389</xdr:row>
      <xdr:rowOff>67795</xdr:rowOff>
    </xdr:to>
    <xdr:pic>
      <xdr:nvPicPr>
        <xdr:cNvPr id="1497" name="Рисунок 1496">
          <a:extLst>
            <a:ext uri="{FF2B5EF4-FFF2-40B4-BE49-F238E27FC236}">
              <a16:creationId xmlns:a16="http://schemas.microsoft.com/office/drawing/2014/main" xmlns="" id="{00000000-0008-0000-00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1" y="204993127"/>
          <a:ext cx="891988" cy="400050"/>
        </a:xfrm>
        <a:prstGeom prst="rect">
          <a:avLst/>
        </a:prstGeom>
      </xdr:spPr>
    </xdr:pic>
    <xdr:clientData/>
  </xdr:twoCellAnchor>
  <xdr:twoCellAnchor>
    <xdr:from>
      <xdr:col>0</xdr:col>
      <xdr:colOff>709705</xdr:colOff>
      <xdr:row>1388</xdr:row>
      <xdr:rowOff>43579</xdr:rowOff>
    </xdr:from>
    <xdr:to>
      <xdr:col>0</xdr:col>
      <xdr:colOff>1376455</xdr:colOff>
      <xdr:row>1389</xdr:row>
      <xdr:rowOff>35642</xdr:rowOff>
    </xdr:to>
    <xdr:pic>
      <xdr:nvPicPr>
        <xdr:cNvPr id="1498" name="Рисунок 1497">
          <a:extLst>
            <a:ext uri="{FF2B5EF4-FFF2-40B4-BE49-F238E27FC236}">
              <a16:creationId xmlns:a16="http://schemas.microsoft.com/office/drawing/2014/main" xmlns="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05" y="204864697"/>
          <a:ext cx="666750" cy="496327"/>
        </a:xfrm>
        <a:prstGeom prst="rect">
          <a:avLst/>
        </a:prstGeom>
      </xdr:spPr>
    </xdr:pic>
    <xdr:clientData/>
  </xdr:twoCellAnchor>
  <xdr:twoCellAnchor>
    <xdr:from>
      <xdr:col>0</xdr:col>
      <xdr:colOff>699122</xdr:colOff>
      <xdr:row>1389</xdr:row>
      <xdr:rowOff>64745</xdr:rowOff>
    </xdr:from>
    <xdr:to>
      <xdr:col>0</xdr:col>
      <xdr:colOff>1316433</xdr:colOff>
      <xdr:row>1390</xdr:row>
      <xdr:rowOff>15564</xdr:rowOff>
    </xdr:to>
    <xdr:pic>
      <xdr:nvPicPr>
        <xdr:cNvPr id="1499" name="Рисунок 1498">
          <a:extLst>
            <a:ext uri="{FF2B5EF4-FFF2-40B4-BE49-F238E27FC236}">
              <a16:creationId xmlns:a16="http://schemas.microsoft.com/office/drawing/2014/main" xmlns="" id="{00000000-0008-0000-0000-0000DB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0" t="7959" r="14008" b="13917"/>
        <a:stretch/>
      </xdr:blipFill>
      <xdr:spPr>
        <a:xfrm>
          <a:off x="699122" y="205390127"/>
          <a:ext cx="617311" cy="455084"/>
        </a:xfrm>
        <a:prstGeom prst="rect">
          <a:avLst/>
        </a:prstGeom>
      </xdr:spPr>
    </xdr:pic>
    <xdr:clientData/>
  </xdr:twoCellAnchor>
  <xdr:twoCellAnchor>
    <xdr:from>
      <xdr:col>0</xdr:col>
      <xdr:colOff>732306</xdr:colOff>
      <xdr:row>1390</xdr:row>
      <xdr:rowOff>32766</xdr:rowOff>
    </xdr:from>
    <xdr:to>
      <xdr:col>0</xdr:col>
      <xdr:colOff>1360956</xdr:colOff>
      <xdr:row>1390</xdr:row>
      <xdr:rowOff>476250</xdr:rowOff>
    </xdr:to>
    <xdr:pic>
      <xdr:nvPicPr>
        <xdr:cNvPr id="1500" name="Рисунок 1499">
          <a:extLst>
            <a:ext uri="{FF2B5EF4-FFF2-40B4-BE49-F238E27FC236}">
              <a16:creationId xmlns:a16="http://schemas.microsoft.com/office/drawing/2014/main" xmlns="" id="{00000000-0008-0000-0000-0000DC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4" t="20577" r="16749" b="26197"/>
        <a:stretch/>
      </xdr:blipFill>
      <xdr:spPr>
        <a:xfrm>
          <a:off x="732306" y="178632119"/>
          <a:ext cx="628650" cy="443484"/>
        </a:xfrm>
        <a:prstGeom prst="rect">
          <a:avLst/>
        </a:prstGeom>
      </xdr:spPr>
    </xdr:pic>
    <xdr:clientData/>
  </xdr:twoCellAnchor>
  <xdr:twoCellAnchor>
    <xdr:from>
      <xdr:col>0</xdr:col>
      <xdr:colOff>694205</xdr:colOff>
      <xdr:row>1391</xdr:row>
      <xdr:rowOff>19050</xdr:rowOff>
    </xdr:from>
    <xdr:to>
      <xdr:col>0</xdr:col>
      <xdr:colOff>1354352</xdr:colOff>
      <xdr:row>1391</xdr:row>
      <xdr:rowOff>501900</xdr:rowOff>
    </xdr:to>
    <xdr:pic>
      <xdr:nvPicPr>
        <xdr:cNvPr id="1501" name="Рисунок 1500">
          <a:extLst>
            <a:ext uri="{FF2B5EF4-FFF2-40B4-BE49-F238E27FC236}">
              <a16:creationId xmlns:a16="http://schemas.microsoft.com/office/drawing/2014/main" xmlns="" id="{00000000-0008-0000-00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05" y="179626932"/>
          <a:ext cx="660147" cy="48285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1571</xdr:row>
      <xdr:rowOff>22412</xdr:rowOff>
    </xdr:from>
    <xdr:to>
      <xdr:col>0</xdr:col>
      <xdr:colOff>1572001</xdr:colOff>
      <xdr:row>1572</xdr:row>
      <xdr:rowOff>997</xdr:rowOff>
    </xdr:to>
    <xdr:pic>
      <xdr:nvPicPr>
        <xdr:cNvPr id="1502" name="Рисунок 1501">
          <a:extLst>
            <a:ext uri="{FF2B5EF4-FFF2-40B4-BE49-F238E27FC236}">
              <a16:creationId xmlns:a16="http://schemas.microsoft.com/office/drawing/2014/main" xmlns="" id="{00000000-0008-0000-00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1122787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1572</xdr:row>
      <xdr:rowOff>22412</xdr:rowOff>
    </xdr:from>
    <xdr:to>
      <xdr:col>0</xdr:col>
      <xdr:colOff>1572001</xdr:colOff>
      <xdr:row>1573</xdr:row>
      <xdr:rowOff>997</xdr:rowOff>
    </xdr:to>
    <xdr:pic>
      <xdr:nvPicPr>
        <xdr:cNvPr id="1503" name="Рисунок 1502">
          <a:extLst>
            <a:ext uri="{FF2B5EF4-FFF2-40B4-BE49-F238E27FC236}">
              <a16:creationId xmlns:a16="http://schemas.microsoft.com/office/drawing/2014/main" xmlns="" id="{00000000-0008-0000-00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1627612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1573</xdr:row>
      <xdr:rowOff>22412</xdr:rowOff>
    </xdr:from>
    <xdr:to>
      <xdr:col>0</xdr:col>
      <xdr:colOff>1572001</xdr:colOff>
      <xdr:row>1574</xdr:row>
      <xdr:rowOff>998</xdr:rowOff>
    </xdr:to>
    <xdr:pic>
      <xdr:nvPicPr>
        <xdr:cNvPr id="1506" name="Рисунок 1505">
          <a:extLst>
            <a:ext uri="{FF2B5EF4-FFF2-40B4-BE49-F238E27FC236}">
              <a16:creationId xmlns:a16="http://schemas.microsoft.com/office/drawing/2014/main" xmlns="" id="{00000000-0008-0000-00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2132437"/>
          <a:ext cx="810000" cy="483411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1574</xdr:row>
      <xdr:rowOff>22412</xdr:rowOff>
    </xdr:from>
    <xdr:to>
      <xdr:col>0</xdr:col>
      <xdr:colOff>1572001</xdr:colOff>
      <xdr:row>1575</xdr:row>
      <xdr:rowOff>997</xdr:rowOff>
    </xdr:to>
    <xdr:pic>
      <xdr:nvPicPr>
        <xdr:cNvPr id="1622" name="Рисунок 1621">
          <a:extLst>
            <a:ext uri="{FF2B5EF4-FFF2-40B4-BE49-F238E27FC236}">
              <a16:creationId xmlns:a16="http://schemas.microsoft.com/office/drawing/2014/main" xmlns="" id="{00000000-0008-0000-00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2637262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1575</xdr:row>
      <xdr:rowOff>22412</xdr:rowOff>
    </xdr:from>
    <xdr:to>
      <xdr:col>0</xdr:col>
      <xdr:colOff>1572001</xdr:colOff>
      <xdr:row>1576</xdr:row>
      <xdr:rowOff>997</xdr:rowOff>
    </xdr:to>
    <xdr:pic>
      <xdr:nvPicPr>
        <xdr:cNvPr id="1624" name="Рисунок 1623">
          <a:extLst>
            <a:ext uri="{FF2B5EF4-FFF2-40B4-BE49-F238E27FC236}">
              <a16:creationId xmlns:a16="http://schemas.microsoft.com/office/drawing/2014/main" xmlns="" id="{00000000-0008-0000-00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3142087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1576</xdr:row>
      <xdr:rowOff>22412</xdr:rowOff>
    </xdr:from>
    <xdr:to>
      <xdr:col>0</xdr:col>
      <xdr:colOff>1572001</xdr:colOff>
      <xdr:row>1577</xdr:row>
      <xdr:rowOff>998</xdr:rowOff>
    </xdr:to>
    <xdr:pic>
      <xdr:nvPicPr>
        <xdr:cNvPr id="1668" name="Рисунок 1667">
          <a:extLst>
            <a:ext uri="{FF2B5EF4-FFF2-40B4-BE49-F238E27FC236}">
              <a16:creationId xmlns:a16="http://schemas.microsoft.com/office/drawing/2014/main" xmlns="" id="{00000000-0008-0000-00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3646912"/>
          <a:ext cx="810000" cy="483411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1577</xdr:row>
      <xdr:rowOff>22412</xdr:rowOff>
    </xdr:from>
    <xdr:to>
      <xdr:col>0</xdr:col>
      <xdr:colOff>1572001</xdr:colOff>
      <xdr:row>1578</xdr:row>
      <xdr:rowOff>997</xdr:rowOff>
    </xdr:to>
    <xdr:pic>
      <xdr:nvPicPr>
        <xdr:cNvPr id="1669" name="Рисунок 1668">
          <a:extLst>
            <a:ext uri="{FF2B5EF4-FFF2-40B4-BE49-F238E27FC236}">
              <a16:creationId xmlns:a16="http://schemas.microsoft.com/office/drawing/2014/main" xmlns="" id="{00000000-0008-0000-00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4151737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1578</xdr:row>
      <xdr:rowOff>22412</xdr:rowOff>
    </xdr:from>
    <xdr:to>
      <xdr:col>0</xdr:col>
      <xdr:colOff>1572001</xdr:colOff>
      <xdr:row>1579</xdr:row>
      <xdr:rowOff>997</xdr:rowOff>
    </xdr:to>
    <xdr:pic>
      <xdr:nvPicPr>
        <xdr:cNvPr id="1670" name="Рисунок 1669">
          <a:extLst>
            <a:ext uri="{FF2B5EF4-FFF2-40B4-BE49-F238E27FC236}">
              <a16:creationId xmlns:a16="http://schemas.microsoft.com/office/drawing/2014/main" xmlns="" id="{00000000-0008-0000-00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4656562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1579</xdr:row>
      <xdr:rowOff>22412</xdr:rowOff>
    </xdr:from>
    <xdr:to>
      <xdr:col>0</xdr:col>
      <xdr:colOff>1572001</xdr:colOff>
      <xdr:row>1580</xdr:row>
      <xdr:rowOff>997</xdr:rowOff>
    </xdr:to>
    <xdr:pic>
      <xdr:nvPicPr>
        <xdr:cNvPr id="1671" name="Рисунок 1670">
          <a:extLst>
            <a:ext uri="{FF2B5EF4-FFF2-40B4-BE49-F238E27FC236}">
              <a16:creationId xmlns:a16="http://schemas.microsoft.com/office/drawing/2014/main" xmlns="" id="{00000000-0008-0000-00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5161387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1580</xdr:row>
      <xdr:rowOff>22412</xdr:rowOff>
    </xdr:from>
    <xdr:to>
      <xdr:col>0</xdr:col>
      <xdr:colOff>1572001</xdr:colOff>
      <xdr:row>1581</xdr:row>
      <xdr:rowOff>998</xdr:rowOff>
    </xdr:to>
    <xdr:pic>
      <xdr:nvPicPr>
        <xdr:cNvPr id="1672" name="Рисунок 1671">
          <a:extLst>
            <a:ext uri="{FF2B5EF4-FFF2-40B4-BE49-F238E27FC236}">
              <a16:creationId xmlns:a16="http://schemas.microsoft.com/office/drawing/2014/main" xmlns="" id="{00000000-0008-0000-00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5666212"/>
          <a:ext cx="810000" cy="483411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1581</xdr:row>
      <xdr:rowOff>22412</xdr:rowOff>
    </xdr:from>
    <xdr:to>
      <xdr:col>0</xdr:col>
      <xdr:colOff>1572001</xdr:colOff>
      <xdr:row>1582</xdr:row>
      <xdr:rowOff>997</xdr:rowOff>
    </xdr:to>
    <xdr:pic>
      <xdr:nvPicPr>
        <xdr:cNvPr id="1673" name="Рисунок 1672">
          <a:extLst>
            <a:ext uri="{FF2B5EF4-FFF2-40B4-BE49-F238E27FC236}">
              <a16:creationId xmlns:a16="http://schemas.microsoft.com/office/drawing/2014/main" xmlns="" id="{00000000-0008-0000-00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6171037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1582</xdr:row>
      <xdr:rowOff>22412</xdr:rowOff>
    </xdr:from>
    <xdr:to>
      <xdr:col>0</xdr:col>
      <xdr:colOff>1572001</xdr:colOff>
      <xdr:row>1583</xdr:row>
      <xdr:rowOff>997</xdr:rowOff>
    </xdr:to>
    <xdr:pic>
      <xdr:nvPicPr>
        <xdr:cNvPr id="1674" name="Рисунок 1673">
          <a:extLst>
            <a:ext uri="{FF2B5EF4-FFF2-40B4-BE49-F238E27FC236}">
              <a16:creationId xmlns:a16="http://schemas.microsoft.com/office/drawing/2014/main" xmlns="" id="{00000000-0008-0000-00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6675862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1583</xdr:row>
      <xdr:rowOff>22412</xdr:rowOff>
    </xdr:from>
    <xdr:to>
      <xdr:col>0</xdr:col>
      <xdr:colOff>1572001</xdr:colOff>
      <xdr:row>1584</xdr:row>
      <xdr:rowOff>998</xdr:rowOff>
    </xdr:to>
    <xdr:pic>
      <xdr:nvPicPr>
        <xdr:cNvPr id="1675" name="Рисунок 1674">
          <a:extLst>
            <a:ext uri="{FF2B5EF4-FFF2-40B4-BE49-F238E27FC236}">
              <a16:creationId xmlns:a16="http://schemas.microsoft.com/office/drawing/2014/main" xmlns="" id="{00000000-0008-0000-00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7180687"/>
          <a:ext cx="810000" cy="483411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1584</xdr:row>
      <xdr:rowOff>22412</xdr:rowOff>
    </xdr:from>
    <xdr:to>
      <xdr:col>0</xdr:col>
      <xdr:colOff>1572001</xdr:colOff>
      <xdr:row>1585</xdr:row>
      <xdr:rowOff>997</xdr:rowOff>
    </xdr:to>
    <xdr:pic>
      <xdr:nvPicPr>
        <xdr:cNvPr id="1676" name="Рисунок 1675">
          <a:extLst>
            <a:ext uri="{FF2B5EF4-FFF2-40B4-BE49-F238E27FC236}">
              <a16:creationId xmlns:a16="http://schemas.microsoft.com/office/drawing/2014/main" xmlns="" id="{00000000-0008-0000-00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7685512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1585</xdr:row>
      <xdr:rowOff>22412</xdr:rowOff>
    </xdr:from>
    <xdr:to>
      <xdr:col>0</xdr:col>
      <xdr:colOff>1572001</xdr:colOff>
      <xdr:row>1586</xdr:row>
      <xdr:rowOff>997</xdr:rowOff>
    </xdr:to>
    <xdr:pic>
      <xdr:nvPicPr>
        <xdr:cNvPr id="1677" name="Рисунок 1676">
          <a:extLst>
            <a:ext uri="{FF2B5EF4-FFF2-40B4-BE49-F238E27FC236}">
              <a16:creationId xmlns:a16="http://schemas.microsoft.com/office/drawing/2014/main" xmlns="" id="{00000000-0008-0000-00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8190337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1586</xdr:row>
      <xdr:rowOff>22412</xdr:rowOff>
    </xdr:from>
    <xdr:to>
      <xdr:col>0</xdr:col>
      <xdr:colOff>1572001</xdr:colOff>
      <xdr:row>1587</xdr:row>
      <xdr:rowOff>997</xdr:rowOff>
    </xdr:to>
    <xdr:pic>
      <xdr:nvPicPr>
        <xdr:cNvPr id="1678" name="Рисунок 1677">
          <a:extLst>
            <a:ext uri="{FF2B5EF4-FFF2-40B4-BE49-F238E27FC236}">
              <a16:creationId xmlns:a16="http://schemas.microsoft.com/office/drawing/2014/main" xmlns="" id="{00000000-0008-0000-00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8695162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1587</xdr:row>
      <xdr:rowOff>22412</xdr:rowOff>
    </xdr:from>
    <xdr:to>
      <xdr:col>0</xdr:col>
      <xdr:colOff>1572001</xdr:colOff>
      <xdr:row>1588</xdr:row>
      <xdr:rowOff>998</xdr:rowOff>
    </xdr:to>
    <xdr:pic>
      <xdr:nvPicPr>
        <xdr:cNvPr id="1679" name="Рисунок 1678">
          <a:extLst>
            <a:ext uri="{FF2B5EF4-FFF2-40B4-BE49-F238E27FC236}">
              <a16:creationId xmlns:a16="http://schemas.microsoft.com/office/drawing/2014/main" xmlns="" id="{00000000-0008-0000-00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9199987"/>
          <a:ext cx="810000" cy="483411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1588</xdr:row>
      <xdr:rowOff>22412</xdr:rowOff>
    </xdr:from>
    <xdr:to>
      <xdr:col>0</xdr:col>
      <xdr:colOff>1572001</xdr:colOff>
      <xdr:row>1589</xdr:row>
      <xdr:rowOff>997</xdr:rowOff>
    </xdr:to>
    <xdr:pic>
      <xdr:nvPicPr>
        <xdr:cNvPr id="1680" name="Рисунок 1679">
          <a:extLst>
            <a:ext uri="{FF2B5EF4-FFF2-40B4-BE49-F238E27FC236}">
              <a16:creationId xmlns:a16="http://schemas.microsoft.com/office/drawing/2014/main" xmlns="" id="{00000000-0008-0000-00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49704812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1589</xdr:row>
      <xdr:rowOff>22412</xdr:rowOff>
    </xdr:from>
    <xdr:to>
      <xdr:col>0</xdr:col>
      <xdr:colOff>1572001</xdr:colOff>
      <xdr:row>1590</xdr:row>
      <xdr:rowOff>997</xdr:rowOff>
    </xdr:to>
    <xdr:pic>
      <xdr:nvPicPr>
        <xdr:cNvPr id="1681" name="Рисунок 1680">
          <a:extLst>
            <a:ext uri="{FF2B5EF4-FFF2-40B4-BE49-F238E27FC236}">
              <a16:creationId xmlns:a16="http://schemas.microsoft.com/office/drawing/2014/main" xmlns="" id="{00000000-0008-0000-00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50209637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1590</xdr:row>
      <xdr:rowOff>22412</xdr:rowOff>
    </xdr:from>
    <xdr:to>
      <xdr:col>0</xdr:col>
      <xdr:colOff>1572001</xdr:colOff>
      <xdr:row>1591</xdr:row>
      <xdr:rowOff>998</xdr:rowOff>
    </xdr:to>
    <xdr:pic>
      <xdr:nvPicPr>
        <xdr:cNvPr id="1682" name="Рисунок 1681">
          <a:extLst>
            <a:ext uri="{FF2B5EF4-FFF2-40B4-BE49-F238E27FC236}">
              <a16:creationId xmlns:a16="http://schemas.microsoft.com/office/drawing/2014/main" xmlns="" id="{00000000-0008-0000-00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50714462"/>
          <a:ext cx="810000" cy="483411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1591</xdr:row>
      <xdr:rowOff>22412</xdr:rowOff>
    </xdr:from>
    <xdr:to>
      <xdr:col>0</xdr:col>
      <xdr:colOff>1572001</xdr:colOff>
      <xdr:row>1592</xdr:row>
      <xdr:rowOff>997</xdr:rowOff>
    </xdr:to>
    <xdr:pic>
      <xdr:nvPicPr>
        <xdr:cNvPr id="1683" name="Рисунок 1682">
          <a:extLst>
            <a:ext uri="{FF2B5EF4-FFF2-40B4-BE49-F238E27FC236}">
              <a16:creationId xmlns:a16="http://schemas.microsoft.com/office/drawing/2014/main" xmlns="" id="{00000000-0008-0000-00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51219287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1592</xdr:row>
      <xdr:rowOff>22412</xdr:rowOff>
    </xdr:from>
    <xdr:to>
      <xdr:col>0</xdr:col>
      <xdr:colOff>1572001</xdr:colOff>
      <xdr:row>1593</xdr:row>
      <xdr:rowOff>997</xdr:rowOff>
    </xdr:to>
    <xdr:pic>
      <xdr:nvPicPr>
        <xdr:cNvPr id="1684" name="Рисунок 1683">
          <a:extLst>
            <a:ext uri="{FF2B5EF4-FFF2-40B4-BE49-F238E27FC236}">
              <a16:creationId xmlns:a16="http://schemas.microsoft.com/office/drawing/2014/main" xmlns="" id="{00000000-0008-0000-00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51724112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762001</xdr:colOff>
      <xdr:row>1593</xdr:row>
      <xdr:rowOff>22412</xdr:rowOff>
    </xdr:from>
    <xdr:to>
      <xdr:col>0</xdr:col>
      <xdr:colOff>1572001</xdr:colOff>
      <xdr:row>1594</xdr:row>
      <xdr:rowOff>998</xdr:rowOff>
    </xdr:to>
    <xdr:pic>
      <xdr:nvPicPr>
        <xdr:cNvPr id="1685" name="Рисунок 1684">
          <a:extLst>
            <a:ext uri="{FF2B5EF4-FFF2-40B4-BE49-F238E27FC236}">
              <a16:creationId xmlns:a16="http://schemas.microsoft.com/office/drawing/2014/main" xmlns="" id="{00000000-0008-0000-00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1" y="52228937"/>
          <a:ext cx="810000" cy="483411"/>
        </a:xfrm>
        <a:prstGeom prst="rect">
          <a:avLst/>
        </a:prstGeom>
      </xdr:spPr>
    </xdr:pic>
    <xdr:clientData/>
  </xdr:twoCellAnchor>
  <xdr:twoCellAnchor>
    <xdr:from>
      <xdr:col>0</xdr:col>
      <xdr:colOff>683559</xdr:colOff>
      <xdr:row>1594</xdr:row>
      <xdr:rowOff>22412</xdr:rowOff>
    </xdr:from>
    <xdr:to>
      <xdr:col>0</xdr:col>
      <xdr:colOff>1493559</xdr:colOff>
      <xdr:row>1595</xdr:row>
      <xdr:rowOff>0</xdr:rowOff>
    </xdr:to>
    <xdr:pic>
      <xdr:nvPicPr>
        <xdr:cNvPr id="1686" name="Рисунок 1685">
          <a:extLst>
            <a:ext uri="{FF2B5EF4-FFF2-40B4-BE49-F238E27FC236}">
              <a16:creationId xmlns:a16="http://schemas.microsoft.com/office/drawing/2014/main" xmlns="" id="{00000000-0008-0000-00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59" y="52733762"/>
          <a:ext cx="810000" cy="483410"/>
        </a:xfrm>
        <a:prstGeom prst="rect">
          <a:avLst/>
        </a:prstGeom>
      </xdr:spPr>
    </xdr:pic>
    <xdr:clientData/>
  </xdr:twoCellAnchor>
  <xdr:twoCellAnchor>
    <xdr:from>
      <xdr:col>0</xdr:col>
      <xdr:colOff>519392</xdr:colOff>
      <xdr:row>1597</xdr:row>
      <xdr:rowOff>347836</xdr:rowOff>
    </xdr:from>
    <xdr:to>
      <xdr:col>0</xdr:col>
      <xdr:colOff>2106706</xdr:colOff>
      <xdr:row>1599</xdr:row>
      <xdr:rowOff>474571</xdr:rowOff>
    </xdr:to>
    <xdr:pic>
      <xdr:nvPicPr>
        <xdr:cNvPr id="1689" name="Рисунок 1688">
          <a:extLst>
            <a:ext uri="{FF2B5EF4-FFF2-40B4-BE49-F238E27FC236}">
              <a16:creationId xmlns:a16="http://schemas.microsoft.com/office/drawing/2014/main" xmlns="" id="{00000000-0008-0000-0000-000099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10" t="6250" r="14550" b="7422"/>
        <a:stretch/>
      </xdr:blipFill>
      <xdr:spPr>
        <a:xfrm>
          <a:off x="519392" y="195083660"/>
          <a:ext cx="1587314" cy="1135264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1600</xdr:row>
      <xdr:rowOff>493059</xdr:rowOff>
    </xdr:from>
    <xdr:to>
      <xdr:col>0</xdr:col>
      <xdr:colOff>1290794</xdr:colOff>
      <xdr:row>1601</xdr:row>
      <xdr:rowOff>490694</xdr:rowOff>
    </xdr:to>
    <xdr:pic>
      <xdr:nvPicPr>
        <xdr:cNvPr id="1687" name="Рисунок 1686">
          <a:extLst>
            <a:ext uri="{FF2B5EF4-FFF2-40B4-BE49-F238E27FC236}">
              <a16:creationId xmlns:a16="http://schemas.microsoft.com/office/drawing/2014/main" xmlns="" id="{00000000-0008-0000-00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2685059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1601</xdr:row>
      <xdr:rowOff>493058</xdr:rowOff>
    </xdr:from>
    <xdr:to>
      <xdr:col>0</xdr:col>
      <xdr:colOff>1290794</xdr:colOff>
      <xdr:row>1602</xdr:row>
      <xdr:rowOff>490694</xdr:rowOff>
    </xdr:to>
    <xdr:pic>
      <xdr:nvPicPr>
        <xdr:cNvPr id="1690" name="Рисунок 1689">
          <a:extLst>
            <a:ext uri="{FF2B5EF4-FFF2-40B4-BE49-F238E27FC236}">
              <a16:creationId xmlns:a16="http://schemas.microsoft.com/office/drawing/2014/main" xmlns="" id="{00000000-0008-0000-00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3189323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1602</xdr:row>
      <xdr:rowOff>493059</xdr:rowOff>
    </xdr:from>
    <xdr:to>
      <xdr:col>0</xdr:col>
      <xdr:colOff>1290794</xdr:colOff>
      <xdr:row>1603</xdr:row>
      <xdr:rowOff>490694</xdr:rowOff>
    </xdr:to>
    <xdr:pic>
      <xdr:nvPicPr>
        <xdr:cNvPr id="1691" name="Рисунок 1690">
          <a:extLst>
            <a:ext uri="{FF2B5EF4-FFF2-40B4-BE49-F238E27FC236}">
              <a16:creationId xmlns:a16="http://schemas.microsoft.com/office/drawing/2014/main" xmlns="" id="{00000000-0008-0000-00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3693588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1603</xdr:row>
      <xdr:rowOff>493059</xdr:rowOff>
    </xdr:from>
    <xdr:to>
      <xdr:col>0</xdr:col>
      <xdr:colOff>1290794</xdr:colOff>
      <xdr:row>1604</xdr:row>
      <xdr:rowOff>490694</xdr:rowOff>
    </xdr:to>
    <xdr:pic>
      <xdr:nvPicPr>
        <xdr:cNvPr id="1692" name="Рисунок 1691">
          <a:extLst>
            <a:ext uri="{FF2B5EF4-FFF2-40B4-BE49-F238E27FC236}">
              <a16:creationId xmlns:a16="http://schemas.microsoft.com/office/drawing/2014/main" xmlns="" id="{00000000-0008-0000-00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4197853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1604</xdr:row>
      <xdr:rowOff>493058</xdr:rowOff>
    </xdr:from>
    <xdr:to>
      <xdr:col>0</xdr:col>
      <xdr:colOff>1290794</xdr:colOff>
      <xdr:row>1605</xdr:row>
      <xdr:rowOff>490694</xdr:rowOff>
    </xdr:to>
    <xdr:pic>
      <xdr:nvPicPr>
        <xdr:cNvPr id="1693" name="Рисунок 1692">
          <a:extLst>
            <a:ext uri="{FF2B5EF4-FFF2-40B4-BE49-F238E27FC236}">
              <a16:creationId xmlns:a16="http://schemas.microsoft.com/office/drawing/2014/main" xmlns="" id="{00000000-0008-0000-00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4702117"/>
          <a:ext cx="540000" cy="501901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1605</xdr:row>
      <xdr:rowOff>493059</xdr:rowOff>
    </xdr:from>
    <xdr:to>
      <xdr:col>0</xdr:col>
      <xdr:colOff>1290794</xdr:colOff>
      <xdr:row>1606</xdr:row>
      <xdr:rowOff>490694</xdr:rowOff>
    </xdr:to>
    <xdr:pic>
      <xdr:nvPicPr>
        <xdr:cNvPr id="1694" name="Рисунок 1693">
          <a:extLst>
            <a:ext uri="{FF2B5EF4-FFF2-40B4-BE49-F238E27FC236}">
              <a16:creationId xmlns:a16="http://schemas.microsoft.com/office/drawing/2014/main" xmlns="" id="{00000000-0008-0000-00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5206383"/>
          <a:ext cx="540000" cy="501899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1606</xdr:row>
      <xdr:rowOff>493059</xdr:rowOff>
    </xdr:from>
    <xdr:to>
      <xdr:col>0</xdr:col>
      <xdr:colOff>1290794</xdr:colOff>
      <xdr:row>1607</xdr:row>
      <xdr:rowOff>490694</xdr:rowOff>
    </xdr:to>
    <xdr:pic>
      <xdr:nvPicPr>
        <xdr:cNvPr id="1695" name="Рисунок 1694">
          <a:extLst>
            <a:ext uri="{FF2B5EF4-FFF2-40B4-BE49-F238E27FC236}">
              <a16:creationId xmlns:a16="http://schemas.microsoft.com/office/drawing/2014/main" xmlns="" id="{00000000-0008-0000-00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5710647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769844</xdr:colOff>
      <xdr:row>1599</xdr:row>
      <xdr:rowOff>474569</xdr:rowOff>
    </xdr:from>
    <xdr:to>
      <xdr:col>0</xdr:col>
      <xdr:colOff>1309844</xdr:colOff>
      <xdr:row>1600</xdr:row>
      <xdr:rowOff>471644</xdr:rowOff>
    </xdr:to>
    <xdr:pic>
      <xdr:nvPicPr>
        <xdr:cNvPr id="1696" name="Рисунок 1695">
          <a:extLst>
            <a:ext uri="{FF2B5EF4-FFF2-40B4-BE49-F238E27FC236}">
              <a16:creationId xmlns:a16="http://schemas.microsoft.com/office/drawing/2014/main" xmlns="" id="{00000000-0008-0000-00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844" y="12162304"/>
          <a:ext cx="540000" cy="50134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1610</xdr:row>
      <xdr:rowOff>45944</xdr:rowOff>
    </xdr:from>
    <xdr:to>
      <xdr:col>0</xdr:col>
      <xdr:colOff>1583200</xdr:colOff>
      <xdr:row>1610</xdr:row>
      <xdr:rowOff>494894</xdr:rowOff>
    </xdr:to>
    <xdr:pic>
      <xdr:nvPicPr>
        <xdr:cNvPr id="1697" name="Рисунок 1696">
          <a:extLst>
            <a:ext uri="{FF2B5EF4-FFF2-40B4-BE49-F238E27FC236}">
              <a16:creationId xmlns:a16="http://schemas.microsoft.com/office/drawing/2014/main" xmlns="" id="{00000000-0008-0000-00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801915"/>
          <a:ext cx="832406" cy="44895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1606</xdr:row>
      <xdr:rowOff>493058</xdr:rowOff>
    </xdr:from>
    <xdr:to>
      <xdr:col>0</xdr:col>
      <xdr:colOff>1290794</xdr:colOff>
      <xdr:row>1607</xdr:row>
      <xdr:rowOff>490694</xdr:rowOff>
    </xdr:to>
    <xdr:pic>
      <xdr:nvPicPr>
        <xdr:cNvPr id="1698" name="Рисунок 1697">
          <a:extLst>
            <a:ext uri="{FF2B5EF4-FFF2-40B4-BE49-F238E27FC236}">
              <a16:creationId xmlns:a16="http://schemas.microsoft.com/office/drawing/2014/main" xmlns="" id="{00000000-0008-0000-00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231970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1607</xdr:row>
      <xdr:rowOff>493059</xdr:rowOff>
    </xdr:from>
    <xdr:to>
      <xdr:col>0</xdr:col>
      <xdr:colOff>1290794</xdr:colOff>
      <xdr:row>1608</xdr:row>
      <xdr:rowOff>490694</xdr:rowOff>
    </xdr:to>
    <xdr:pic>
      <xdr:nvPicPr>
        <xdr:cNvPr id="1704" name="Рисунок 1703">
          <a:extLst>
            <a:ext uri="{FF2B5EF4-FFF2-40B4-BE49-F238E27FC236}">
              <a16:creationId xmlns:a16="http://schemas.microsoft.com/office/drawing/2014/main" xmlns="" id="{00000000-0008-0000-00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8736235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1608</xdr:row>
      <xdr:rowOff>493059</xdr:rowOff>
    </xdr:from>
    <xdr:to>
      <xdr:col>0</xdr:col>
      <xdr:colOff>1290794</xdr:colOff>
      <xdr:row>1609</xdr:row>
      <xdr:rowOff>490694</xdr:rowOff>
    </xdr:to>
    <xdr:pic>
      <xdr:nvPicPr>
        <xdr:cNvPr id="1705" name="Рисунок 1704">
          <a:extLst>
            <a:ext uri="{FF2B5EF4-FFF2-40B4-BE49-F238E27FC236}">
              <a16:creationId xmlns:a16="http://schemas.microsoft.com/office/drawing/2014/main" xmlns="" id="{00000000-0008-0000-00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9240500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1059</xdr:row>
      <xdr:rowOff>0</xdr:rowOff>
    </xdr:from>
    <xdr:to>
      <xdr:col>0</xdr:col>
      <xdr:colOff>1290794</xdr:colOff>
      <xdr:row>1059</xdr:row>
      <xdr:rowOff>490694</xdr:rowOff>
    </xdr:to>
    <xdr:pic>
      <xdr:nvPicPr>
        <xdr:cNvPr id="1707" name="Рисунок 1706">
          <a:extLst>
            <a:ext uri="{FF2B5EF4-FFF2-40B4-BE49-F238E27FC236}">
              <a16:creationId xmlns:a16="http://schemas.microsoft.com/office/drawing/2014/main" xmlns="" id="{00000000-0008-0000-00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2696265"/>
          <a:ext cx="540000" cy="490694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1059</xdr:row>
      <xdr:rowOff>493059</xdr:rowOff>
    </xdr:from>
    <xdr:to>
      <xdr:col>0</xdr:col>
      <xdr:colOff>1290794</xdr:colOff>
      <xdr:row>1060</xdr:row>
      <xdr:rowOff>0</xdr:rowOff>
    </xdr:to>
    <xdr:pic>
      <xdr:nvPicPr>
        <xdr:cNvPr id="1708" name="Рисунок 1707">
          <a:extLst>
            <a:ext uri="{FF2B5EF4-FFF2-40B4-BE49-F238E27FC236}">
              <a16:creationId xmlns:a16="http://schemas.microsoft.com/office/drawing/2014/main" xmlns="" id="{00000000-0008-0000-00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3189324"/>
          <a:ext cx="540000" cy="501899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1061</xdr:row>
      <xdr:rowOff>0</xdr:rowOff>
    </xdr:from>
    <xdr:to>
      <xdr:col>0</xdr:col>
      <xdr:colOff>1290794</xdr:colOff>
      <xdr:row>1061</xdr:row>
      <xdr:rowOff>490694</xdr:rowOff>
    </xdr:to>
    <xdr:pic>
      <xdr:nvPicPr>
        <xdr:cNvPr id="1709" name="Рисунок 1708">
          <a:extLst>
            <a:ext uri="{FF2B5EF4-FFF2-40B4-BE49-F238E27FC236}">
              <a16:creationId xmlns:a16="http://schemas.microsoft.com/office/drawing/2014/main" xmlns="" id="{00000000-0008-0000-00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3200529"/>
          <a:ext cx="540000" cy="490694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1061</xdr:row>
      <xdr:rowOff>493058</xdr:rowOff>
    </xdr:from>
    <xdr:to>
      <xdr:col>0</xdr:col>
      <xdr:colOff>1290794</xdr:colOff>
      <xdr:row>1063</xdr:row>
      <xdr:rowOff>0</xdr:rowOff>
    </xdr:to>
    <xdr:pic>
      <xdr:nvPicPr>
        <xdr:cNvPr id="1711" name="Рисунок 1710">
          <a:extLst>
            <a:ext uri="{FF2B5EF4-FFF2-40B4-BE49-F238E27FC236}">
              <a16:creationId xmlns:a16="http://schemas.microsoft.com/office/drawing/2014/main" xmlns="" id="{00000000-0008-0000-00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3693587"/>
          <a:ext cx="540000" cy="501901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1062</xdr:row>
      <xdr:rowOff>0</xdr:rowOff>
    </xdr:from>
    <xdr:to>
      <xdr:col>0</xdr:col>
      <xdr:colOff>1290794</xdr:colOff>
      <xdr:row>1062</xdr:row>
      <xdr:rowOff>490694</xdr:rowOff>
    </xdr:to>
    <xdr:pic>
      <xdr:nvPicPr>
        <xdr:cNvPr id="1714" name="Рисунок 1713">
          <a:extLst>
            <a:ext uri="{FF2B5EF4-FFF2-40B4-BE49-F238E27FC236}">
              <a16:creationId xmlns:a16="http://schemas.microsoft.com/office/drawing/2014/main" xmlns="" id="{00000000-0008-0000-00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3704794"/>
          <a:ext cx="540000" cy="490694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1062</xdr:row>
      <xdr:rowOff>493059</xdr:rowOff>
    </xdr:from>
    <xdr:to>
      <xdr:col>0</xdr:col>
      <xdr:colOff>1290794</xdr:colOff>
      <xdr:row>1063</xdr:row>
      <xdr:rowOff>0</xdr:rowOff>
    </xdr:to>
    <xdr:pic>
      <xdr:nvPicPr>
        <xdr:cNvPr id="1716" name="Рисунок 1715">
          <a:extLst>
            <a:ext uri="{FF2B5EF4-FFF2-40B4-BE49-F238E27FC236}">
              <a16:creationId xmlns:a16="http://schemas.microsoft.com/office/drawing/2014/main" xmlns="" id="{00000000-0008-0000-00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4197853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1610</xdr:row>
      <xdr:rowOff>493059</xdr:rowOff>
    </xdr:from>
    <xdr:to>
      <xdr:col>0</xdr:col>
      <xdr:colOff>1290794</xdr:colOff>
      <xdr:row>1611</xdr:row>
      <xdr:rowOff>0</xdr:rowOff>
    </xdr:to>
    <xdr:pic>
      <xdr:nvPicPr>
        <xdr:cNvPr id="1718" name="Рисунок 1717">
          <a:extLst>
            <a:ext uri="{FF2B5EF4-FFF2-40B4-BE49-F238E27FC236}">
              <a16:creationId xmlns:a16="http://schemas.microsoft.com/office/drawing/2014/main" xmlns="" id="{00000000-0008-0000-00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1676530"/>
          <a:ext cx="540000" cy="501899"/>
        </a:xfrm>
        <a:prstGeom prst="rect">
          <a:avLst/>
        </a:prstGeom>
      </xdr:spPr>
    </xdr:pic>
    <xdr:clientData/>
  </xdr:twoCellAnchor>
  <xdr:twoCellAnchor>
    <xdr:from>
      <xdr:col>0</xdr:col>
      <xdr:colOff>769844</xdr:colOff>
      <xdr:row>1611</xdr:row>
      <xdr:rowOff>17369</xdr:rowOff>
    </xdr:from>
    <xdr:to>
      <xdr:col>0</xdr:col>
      <xdr:colOff>1309844</xdr:colOff>
      <xdr:row>1611</xdr:row>
      <xdr:rowOff>471644</xdr:rowOff>
    </xdr:to>
    <xdr:pic>
      <xdr:nvPicPr>
        <xdr:cNvPr id="1719" name="Рисунок 1718">
          <a:extLst>
            <a:ext uri="{FF2B5EF4-FFF2-40B4-BE49-F238E27FC236}">
              <a16:creationId xmlns:a16="http://schemas.microsoft.com/office/drawing/2014/main" xmlns="" id="{00000000-0008-0000-00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844" y="12713634"/>
          <a:ext cx="540000" cy="454275"/>
        </a:xfrm>
        <a:prstGeom prst="rect">
          <a:avLst/>
        </a:prstGeom>
      </xdr:spPr>
    </xdr:pic>
    <xdr:clientData/>
  </xdr:twoCellAnchor>
  <xdr:twoCellAnchor>
    <xdr:from>
      <xdr:col>0</xdr:col>
      <xdr:colOff>769844</xdr:colOff>
      <xdr:row>1611</xdr:row>
      <xdr:rowOff>474569</xdr:rowOff>
    </xdr:from>
    <xdr:to>
      <xdr:col>0</xdr:col>
      <xdr:colOff>1309844</xdr:colOff>
      <xdr:row>1612</xdr:row>
      <xdr:rowOff>0</xdr:rowOff>
    </xdr:to>
    <xdr:pic>
      <xdr:nvPicPr>
        <xdr:cNvPr id="1720" name="Рисунок 1719">
          <a:extLst>
            <a:ext uri="{FF2B5EF4-FFF2-40B4-BE49-F238E27FC236}">
              <a16:creationId xmlns:a16="http://schemas.microsoft.com/office/drawing/2014/main" xmlns="" id="{00000000-0008-0000-00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844" y="13170834"/>
          <a:ext cx="540000" cy="29695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1611</xdr:row>
      <xdr:rowOff>0</xdr:rowOff>
    </xdr:from>
    <xdr:to>
      <xdr:col>0</xdr:col>
      <xdr:colOff>1290794</xdr:colOff>
      <xdr:row>1611</xdr:row>
      <xdr:rowOff>490694</xdr:rowOff>
    </xdr:to>
    <xdr:pic>
      <xdr:nvPicPr>
        <xdr:cNvPr id="1721" name="Рисунок 1720">
          <a:extLst>
            <a:ext uri="{FF2B5EF4-FFF2-40B4-BE49-F238E27FC236}">
              <a16:creationId xmlns:a16="http://schemas.microsoft.com/office/drawing/2014/main" xmlns="" id="{00000000-0008-0000-00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2685059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1059</xdr:row>
      <xdr:rowOff>493059</xdr:rowOff>
    </xdr:from>
    <xdr:to>
      <xdr:col>0</xdr:col>
      <xdr:colOff>1290794</xdr:colOff>
      <xdr:row>1060</xdr:row>
      <xdr:rowOff>490694</xdr:rowOff>
    </xdr:to>
    <xdr:pic>
      <xdr:nvPicPr>
        <xdr:cNvPr id="1723" name="Рисунок 1722">
          <a:extLst>
            <a:ext uri="{FF2B5EF4-FFF2-40B4-BE49-F238E27FC236}">
              <a16:creationId xmlns:a16="http://schemas.microsoft.com/office/drawing/2014/main" xmlns="" id="{00000000-0008-0000-00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39759765"/>
          <a:ext cx="540000" cy="501900"/>
        </a:xfrm>
        <a:prstGeom prst="rect">
          <a:avLst/>
        </a:prstGeom>
      </xdr:spPr>
    </xdr:pic>
    <xdr:clientData/>
  </xdr:twoCellAnchor>
  <xdr:twoCellAnchor>
    <xdr:from>
      <xdr:col>0</xdr:col>
      <xdr:colOff>750794</xdr:colOff>
      <xdr:row>1060</xdr:row>
      <xdr:rowOff>493059</xdr:rowOff>
    </xdr:from>
    <xdr:to>
      <xdr:col>0</xdr:col>
      <xdr:colOff>1290794</xdr:colOff>
      <xdr:row>1061</xdr:row>
      <xdr:rowOff>490694</xdr:rowOff>
    </xdr:to>
    <xdr:pic>
      <xdr:nvPicPr>
        <xdr:cNvPr id="1724" name="Рисунок 1723">
          <a:extLst>
            <a:ext uri="{FF2B5EF4-FFF2-40B4-BE49-F238E27FC236}">
              <a16:creationId xmlns:a16="http://schemas.microsoft.com/office/drawing/2014/main" xmlns="" id="{00000000-0008-0000-00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4" y="140264030"/>
          <a:ext cx="540000" cy="501899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1611</xdr:row>
      <xdr:rowOff>44824</xdr:rowOff>
    </xdr:from>
    <xdr:to>
      <xdr:col>0</xdr:col>
      <xdr:colOff>1403752</xdr:colOff>
      <xdr:row>1612</xdr:row>
      <xdr:rowOff>23409</xdr:rowOff>
    </xdr:to>
    <xdr:pic>
      <xdr:nvPicPr>
        <xdr:cNvPr id="1717" name="Рисунок 1716">
          <a:extLst>
            <a:ext uri="{FF2B5EF4-FFF2-40B4-BE49-F238E27FC236}">
              <a16:creationId xmlns:a16="http://schemas.microsoft.com/office/drawing/2014/main" xmlns="" id="{00000000-0008-0000-00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808"/>
        <a:stretch>
          <a:fillRect/>
        </a:stretch>
      </xdr:blipFill>
      <xdr:spPr>
        <a:xfrm>
          <a:off x="605117" y="22322118"/>
          <a:ext cx="798635" cy="482850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1612</xdr:row>
      <xdr:rowOff>79562</xdr:rowOff>
    </xdr:from>
    <xdr:to>
      <xdr:col>0</xdr:col>
      <xdr:colOff>1415111</xdr:colOff>
      <xdr:row>1613</xdr:row>
      <xdr:rowOff>24248</xdr:rowOff>
    </xdr:to>
    <xdr:pic>
      <xdr:nvPicPr>
        <xdr:cNvPr id="1722" name="Рисунок 1721">
          <a:extLst>
            <a:ext uri="{FF2B5EF4-FFF2-40B4-BE49-F238E27FC236}">
              <a16:creationId xmlns:a16="http://schemas.microsoft.com/office/drawing/2014/main" xmlns="" id="{00000000-0008-0000-00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22861121"/>
          <a:ext cx="832406" cy="448951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1613</xdr:row>
      <xdr:rowOff>79562</xdr:rowOff>
    </xdr:from>
    <xdr:to>
      <xdr:col>0</xdr:col>
      <xdr:colOff>1415111</xdr:colOff>
      <xdr:row>1614</xdr:row>
      <xdr:rowOff>24247</xdr:rowOff>
    </xdr:to>
    <xdr:pic>
      <xdr:nvPicPr>
        <xdr:cNvPr id="1725" name="Рисунок 1724">
          <a:extLst>
            <a:ext uri="{FF2B5EF4-FFF2-40B4-BE49-F238E27FC236}">
              <a16:creationId xmlns:a16="http://schemas.microsoft.com/office/drawing/2014/main" xmlns="" id="{00000000-0008-0000-00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23869650"/>
          <a:ext cx="832406" cy="448950"/>
        </a:xfrm>
        <a:prstGeom prst="rect">
          <a:avLst/>
        </a:prstGeom>
      </xdr:spPr>
    </xdr:pic>
    <xdr:clientData/>
  </xdr:twoCellAnchor>
  <xdr:twoCellAnchor>
    <xdr:from>
      <xdr:col>0</xdr:col>
      <xdr:colOff>625038</xdr:colOff>
      <xdr:row>1613</xdr:row>
      <xdr:rowOff>75327</xdr:rowOff>
    </xdr:from>
    <xdr:to>
      <xdr:col>0</xdr:col>
      <xdr:colOff>1417038</xdr:colOff>
      <xdr:row>1614</xdr:row>
      <xdr:rowOff>23321</xdr:rowOff>
    </xdr:to>
    <xdr:pic>
      <xdr:nvPicPr>
        <xdr:cNvPr id="1727" name="Рисунок 1726">
          <a:extLst>
            <a:ext uri="{FF2B5EF4-FFF2-40B4-BE49-F238E27FC236}">
              <a16:creationId xmlns:a16="http://schemas.microsoft.com/office/drawing/2014/main" xmlns="" id="{00000000-0008-0000-00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038" y="24873945"/>
          <a:ext cx="792000" cy="452258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1614</xdr:row>
      <xdr:rowOff>22412</xdr:rowOff>
    </xdr:from>
    <xdr:to>
      <xdr:col>0</xdr:col>
      <xdr:colOff>1372467</xdr:colOff>
      <xdr:row>1615</xdr:row>
      <xdr:rowOff>20047</xdr:rowOff>
    </xdr:to>
    <xdr:pic>
      <xdr:nvPicPr>
        <xdr:cNvPr id="1728" name="Рисунок 1727">
          <a:extLst>
            <a:ext uri="{FF2B5EF4-FFF2-40B4-BE49-F238E27FC236}">
              <a16:creationId xmlns:a16="http://schemas.microsoft.com/office/drawing/2014/main" xmlns="" id="{00000000-0008-0000-00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25325294"/>
          <a:ext cx="789762" cy="501900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1614</xdr:row>
      <xdr:rowOff>22412</xdr:rowOff>
    </xdr:from>
    <xdr:to>
      <xdr:col>0</xdr:col>
      <xdr:colOff>1372467</xdr:colOff>
      <xdr:row>1615</xdr:row>
      <xdr:rowOff>20047</xdr:rowOff>
    </xdr:to>
    <xdr:pic>
      <xdr:nvPicPr>
        <xdr:cNvPr id="1729" name="Рисунок 1728">
          <a:extLst>
            <a:ext uri="{FF2B5EF4-FFF2-40B4-BE49-F238E27FC236}">
              <a16:creationId xmlns:a16="http://schemas.microsoft.com/office/drawing/2014/main" xmlns="" id="{00000000-0008-0000-00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25325294"/>
          <a:ext cx="789762" cy="501900"/>
        </a:xfrm>
        <a:prstGeom prst="rect">
          <a:avLst/>
        </a:prstGeom>
      </xdr:spPr>
    </xdr:pic>
    <xdr:clientData/>
  </xdr:twoCellAnchor>
  <xdr:twoCellAnchor>
    <xdr:from>
      <xdr:col>0</xdr:col>
      <xdr:colOff>618689</xdr:colOff>
      <xdr:row>1615</xdr:row>
      <xdr:rowOff>68978</xdr:rowOff>
    </xdr:from>
    <xdr:to>
      <xdr:col>0</xdr:col>
      <xdr:colOff>1408451</xdr:colOff>
      <xdr:row>1616</xdr:row>
      <xdr:rowOff>37478</xdr:rowOff>
    </xdr:to>
    <xdr:pic>
      <xdr:nvPicPr>
        <xdr:cNvPr id="1730" name="Рисунок 1729">
          <a:extLst>
            <a:ext uri="{FF2B5EF4-FFF2-40B4-BE49-F238E27FC236}">
              <a16:creationId xmlns:a16="http://schemas.microsoft.com/office/drawing/2014/main" xmlns="" id="{00000000-0008-0000-00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689" y="25876125"/>
          <a:ext cx="789762" cy="472765"/>
        </a:xfrm>
        <a:prstGeom prst="rect">
          <a:avLst/>
        </a:prstGeom>
      </xdr:spPr>
    </xdr:pic>
    <xdr:clientData/>
  </xdr:twoCellAnchor>
  <xdr:twoCellAnchor>
    <xdr:from>
      <xdr:col>0</xdr:col>
      <xdr:colOff>618689</xdr:colOff>
      <xdr:row>1616</xdr:row>
      <xdr:rowOff>0</xdr:rowOff>
    </xdr:from>
    <xdr:to>
      <xdr:col>0</xdr:col>
      <xdr:colOff>1408451</xdr:colOff>
      <xdr:row>1616</xdr:row>
      <xdr:rowOff>37478</xdr:rowOff>
    </xdr:to>
    <xdr:pic>
      <xdr:nvPicPr>
        <xdr:cNvPr id="1731" name="Рисунок 1730">
          <a:extLst>
            <a:ext uri="{FF2B5EF4-FFF2-40B4-BE49-F238E27FC236}">
              <a16:creationId xmlns:a16="http://schemas.microsoft.com/office/drawing/2014/main" xmlns="" id="{00000000-0008-0000-00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689" y="26311412"/>
          <a:ext cx="789762" cy="37478"/>
        </a:xfrm>
        <a:prstGeom prst="rect">
          <a:avLst/>
        </a:prstGeom>
      </xdr:spPr>
    </xdr:pic>
    <xdr:clientData/>
  </xdr:twoCellAnchor>
  <xdr:twoCellAnchor>
    <xdr:from>
      <xdr:col>0</xdr:col>
      <xdr:colOff>760506</xdr:colOff>
      <xdr:row>1616</xdr:row>
      <xdr:rowOff>115545</xdr:rowOff>
    </xdr:from>
    <xdr:to>
      <xdr:col>0</xdr:col>
      <xdr:colOff>1258909</xdr:colOff>
      <xdr:row>1616</xdr:row>
      <xdr:rowOff>456328</xdr:rowOff>
    </xdr:to>
    <xdr:pic>
      <xdr:nvPicPr>
        <xdr:cNvPr id="1732" name="Рисунок 1731">
          <a:extLst>
            <a:ext uri="{FF2B5EF4-FFF2-40B4-BE49-F238E27FC236}">
              <a16:creationId xmlns:a16="http://schemas.microsoft.com/office/drawing/2014/main" xmlns="" id="{00000000-0008-0000-00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506" y="26426957"/>
          <a:ext cx="498403" cy="340783"/>
        </a:xfrm>
        <a:prstGeom prst="rect">
          <a:avLst/>
        </a:prstGeom>
      </xdr:spPr>
    </xdr:pic>
    <xdr:clientData/>
  </xdr:twoCellAnchor>
  <xdr:twoCellAnchor>
    <xdr:from>
      <xdr:col>0</xdr:col>
      <xdr:colOff>761298</xdr:colOff>
      <xdr:row>1616</xdr:row>
      <xdr:rowOff>46224</xdr:rowOff>
    </xdr:from>
    <xdr:to>
      <xdr:col>0</xdr:col>
      <xdr:colOff>1209189</xdr:colOff>
      <xdr:row>1617</xdr:row>
      <xdr:rowOff>24809</xdr:rowOff>
    </xdr:to>
    <xdr:pic>
      <xdr:nvPicPr>
        <xdr:cNvPr id="1733" name="Рисунок 1732">
          <a:extLst>
            <a:ext uri="{FF2B5EF4-FFF2-40B4-BE49-F238E27FC236}">
              <a16:creationId xmlns:a16="http://schemas.microsoft.com/office/drawing/2014/main" xmlns="" id="{00000000-0008-0000-00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98" y="33417342"/>
          <a:ext cx="447891" cy="482849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1617</xdr:row>
      <xdr:rowOff>22412</xdr:rowOff>
    </xdr:from>
    <xdr:to>
      <xdr:col>0</xdr:col>
      <xdr:colOff>1370983</xdr:colOff>
      <xdr:row>1618</xdr:row>
      <xdr:rowOff>20047</xdr:rowOff>
    </xdr:to>
    <xdr:pic>
      <xdr:nvPicPr>
        <xdr:cNvPr id="1734" name="Рисунок 1733">
          <a:extLst>
            <a:ext uri="{FF2B5EF4-FFF2-40B4-BE49-F238E27FC236}">
              <a16:creationId xmlns:a16="http://schemas.microsoft.com/office/drawing/2014/main" xmlns="" id="{00000000-0008-0000-00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33897794"/>
          <a:ext cx="788278" cy="501900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1617</xdr:row>
      <xdr:rowOff>22412</xdr:rowOff>
    </xdr:from>
    <xdr:to>
      <xdr:col>0</xdr:col>
      <xdr:colOff>1370983</xdr:colOff>
      <xdr:row>1618</xdr:row>
      <xdr:rowOff>20047</xdr:rowOff>
    </xdr:to>
    <xdr:pic>
      <xdr:nvPicPr>
        <xdr:cNvPr id="1735" name="Рисунок 1734">
          <a:extLst>
            <a:ext uri="{FF2B5EF4-FFF2-40B4-BE49-F238E27FC236}">
              <a16:creationId xmlns:a16="http://schemas.microsoft.com/office/drawing/2014/main" xmlns="" id="{00000000-0008-0000-00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34906324"/>
          <a:ext cx="788278" cy="501899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1618</xdr:row>
      <xdr:rowOff>22412</xdr:rowOff>
    </xdr:from>
    <xdr:to>
      <xdr:col>0</xdr:col>
      <xdr:colOff>1370983</xdr:colOff>
      <xdr:row>1619</xdr:row>
      <xdr:rowOff>20047</xdr:rowOff>
    </xdr:to>
    <xdr:pic>
      <xdr:nvPicPr>
        <xdr:cNvPr id="1736" name="Рисунок 1735">
          <a:extLst>
            <a:ext uri="{FF2B5EF4-FFF2-40B4-BE49-F238E27FC236}">
              <a16:creationId xmlns:a16="http://schemas.microsoft.com/office/drawing/2014/main" xmlns="" id="{00000000-0008-0000-00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35410588"/>
          <a:ext cx="788278" cy="501900"/>
        </a:xfrm>
        <a:prstGeom prst="rect">
          <a:avLst/>
        </a:prstGeom>
      </xdr:spPr>
    </xdr:pic>
    <xdr:clientData/>
  </xdr:twoCellAnchor>
  <xdr:twoCellAnchor>
    <xdr:from>
      <xdr:col>0</xdr:col>
      <xdr:colOff>616324</xdr:colOff>
      <xdr:row>1619</xdr:row>
      <xdr:rowOff>44824</xdr:rowOff>
    </xdr:from>
    <xdr:to>
      <xdr:col>0</xdr:col>
      <xdr:colOff>1404602</xdr:colOff>
      <xdr:row>1620</xdr:row>
      <xdr:rowOff>23410</xdr:rowOff>
    </xdr:to>
    <xdr:pic>
      <xdr:nvPicPr>
        <xdr:cNvPr id="1737" name="Рисунок 1736">
          <a:extLst>
            <a:ext uri="{FF2B5EF4-FFF2-40B4-BE49-F238E27FC236}">
              <a16:creationId xmlns:a16="http://schemas.microsoft.com/office/drawing/2014/main" xmlns="" id="{00000000-0008-0000-00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4" y="35886038"/>
          <a:ext cx="788278" cy="482051"/>
        </a:xfrm>
        <a:prstGeom prst="rect">
          <a:avLst/>
        </a:prstGeom>
      </xdr:spPr>
    </xdr:pic>
    <xdr:clientData/>
  </xdr:twoCellAnchor>
  <xdr:twoCellAnchor>
    <xdr:from>
      <xdr:col>0</xdr:col>
      <xdr:colOff>616324</xdr:colOff>
      <xdr:row>1620</xdr:row>
      <xdr:rowOff>44824</xdr:rowOff>
    </xdr:from>
    <xdr:to>
      <xdr:col>0</xdr:col>
      <xdr:colOff>1404602</xdr:colOff>
      <xdr:row>1621</xdr:row>
      <xdr:rowOff>23409</xdr:rowOff>
    </xdr:to>
    <xdr:pic>
      <xdr:nvPicPr>
        <xdr:cNvPr id="1738" name="Рисунок 1737">
          <a:extLst>
            <a:ext uri="{FF2B5EF4-FFF2-40B4-BE49-F238E27FC236}">
              <a16:creationId xmlns:a16="http://schemas.microsoft.com/office/drawing/2014/main" xmlns="" id="{00000000-0008-0000-00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4" y="36389503"/>
          <a:ext cx="788278" cy="482049"/>
        </a:xfrm>
        <a:prstGeom prst="rect">
          <a:avLst/>
        </a:prstGeom>
      </xdr:spPr>
    </xdr:pic>
    <xdr:clientData/>
  </xdr:twoCellAnchor>
  <xdr:twoCellAnchor>
    <xdr:from>
      <xdr:col>0</xdr:col>
      <xdr:colOff>616324</xdr:colOff>
      <xdr:row>1621</xdr:row>
      <xdr:rowOff>44824</xdr:rowOff>
    </xdr:from>
    <xdr:to>
      <xdr:col>0</xdr:col>
      <xdr:colOff>1404602</xdr:colOff>
      <xdr:row>1622</xdr:row>
      <xdr:rowOff>23409</xdr:rowOff>
    </xdr:to>
    <xdr:pic>
      <xdr:nvPicPr>
        <xdr:cNvPr id="1739" name="Рисунок 1738">
          <a:extLst>
            <a:ext uri="{FF2B5EF4-FFF2-40B4-BE49-F238E27FC236}">
              <a16:creationId xmlns:a16="http://schemas.microsoft.com/office/drawing/2014/main" xmlns="" id="{00000000-0008-0000-00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4" y="36892967"/>
          <a:ext cx="788278" cy="482049"/>
        </a:xfrm>
        <a:prstGeom prst="rect">
          <a:avLst/>
        </a:prstGeom>
      </xdr:spPr>
    </xdr:pic>
    <xdr:clientData/>
  </xdr:twoCellAnchor>
  <xdr:twoCellAnchor>
    <xdr:from>
      <xdr:col>0</xdr:col>
      <xdr:colOff>616324</xdr:colOff>
      <xdr:row>1622</xdr:row>
      <xdr:rowOff>44824</xdr:rowOff>
    </xdr:from>
    <xdr:to>
      <xdr:col>0</xdr:col>
      <xdr:colOff>1404602</xdr:colOff>
      <xdr:row>1623</xdr:row>
      <xdr:rowOff>23410</xdr:rowOff>
    </xdr:to>
    <xdr:pic>
      <xdr:nvPicPr>
        <xdr:cNvPr id="1740" name="Рисунок 1739">
          <a:extLst>
            <a:ext uri="{FF2B5EF4-FFF2-40B4-BE49-F238E27FC236}">
              <a16:creationId xmlns:a16="http://schemas.microsoft.com/office/drawing/2014/main" xmlns="" id="{00000000-0008-0000-00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4" y="37396431"/>
          <a:ext cx="788278" cy="482050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1618</xdr:row>
      <xdr:rowOff>22412</xdr:rowOff>
    </xdr:from>
    <xdr:to>
      <xdr:col>0</xdr:col>
      <xdr:colOff>1370983</xdr:colOff>
      <xdr:row>1619</xdr:row>
      <xdr:rowOff>20047</xdr:rowOff>
    </xdr:to>
    <xdr:pic>
      <xdr:nvPicPr>
        <xdr:cNvPr id="1741" name="Рисунок 1740">
          <a:extLst>
            <a:ext uri="{FF2B5EF4-FFF2-40B4-BE49-F238E27FC236}">
              <a16:creationId xmlns:a16="http://schemas.microsoft.com/office/drawing/2014/main" xmlns="" id="{00000000-0008-0000-00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35360162"/>
          <a:ext cx="788278" cy="501099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1622</xdr:row>
      <xdr:rowOff>22412</xdr:rowOff>
    </xdr:from>
    <xdr:to>
      <xdr:col>0</xdr:col>
      <xdr:colOff>1370983</xdr:colOff>
      <xdr:row>1623</xdr:row>
      <xdr:rowOff>20047</xdr:rowOff>
    </xdr:to>
    <xdr:pic>
      <xdr:nvPicPr>
        <xdr:cNvPr id="1742" name="Рисунок 1741">
          <a:extLst>
            <a:ext uri="{FF2B5EF4-FFF2-40B4-BE49-F238E27FC236}">
              <a16:creationId xmlns:a16="http://schemas.microsoft.com/office/drawing/2014/main" xmlns="" id="{00000000-0008-0000-00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33849769"/>
          <a:ext cx="788278" cy="501099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1623</xdr:row>
      <xdr:rowOff>22412</xdr:rowOff>
    </xdr:from>
    <xdr:to>
      <xdr:col>0</xdr:col>
      <xdr:colOff>1370983</xdr:colOff>
      <xdr:row>1624</xdr:row>
      <xdr:rowOff>20048</xdr:rowOff>
    </xdr:to>
    <xdr:pic>
      <xdr:nvPicPr>
        <xdr:cNvPr id="1743" name="Рисунок 1742">
          <a:extLst>
            <a:ext uri="{FF2B5EF4-FFF2-40B4-BE49-F238E27FC236}">
              <a16:creationId xmlns:a16="http://schemas.microsoft.com/office/drawing/2014/main" xmlns="" id="{00000000-0008-0000-00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5" y="34353233"/>
          <a:ext cx="788278" cy="501101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1624</xdr:row>
      <xdr:rowOff>44824</xdr:rowOff>
    </xdr:from>
    <xdr:to>
      <xdr:col>0</xdr:col>
      <xdr:colOff>1405217</xdr:colOff>
      <xdr:row>1625</xdr:row>
      <xdr:rowOff>23409</xdr:rowOff>
    </xdr:to>
    <xdr:pic>
      <xdr:nvPicPr>
        <xdr:cNvPr id="1744" name="Рисунок 1743">
          <a:extLst>
            <a:ext uri="{FF2B5EF4-FFF2-40B4-BE49-F238E27FC236}">
              <a16:creationId xmlns:a16="http://schemas.microsoft.com/office/drawing/2014/main" xmlns="" id="{00000000-0008-0000-00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657"/>
        <a:stretch>
          <a:fillRect/>
        </a:stretch>
      </xdr:blipFill>
      <xdr:spPr>
        <a:xfrm>
          <a:off x="605117" y="21313589"/>
          <a:ext cx="800100" cy="482849"/>
        </a:xfrm>
        <a:prstGeom prst="rect">
          <a:avLst/>
        </a:prstGeom>
      </xdr:spPr>
    </xdr:pic>
    <xdr:clientData/>
  </xdr:twoCellAnchor>
  <xdr:twoCellAnchor>
    <xdr:from>
      <xdr:col>0</xdr:col>
      <xdr:colOff>582705</xdr:colOff>
      <xdr:row>1625</xdr:row>
      <xdr:rowOff>41462</xdr:rowOff>
    </xdr:from>
    <xdr:to>
      <xdr:col>0</xdr:col>
      <xdr:colOff>1403320</xdr:colOff>
      <xdr:row>1626</xdr:row>
      <xdr:rowOff>20047</xdr:rowOff>
    </xdr:to>
    <xdr:pic>
      <xdr:nvPicPr>
        <xdr:cNvPr id="1745" name="Рисунок 1744">
          <a:extLst>
            <a:ext uri="{FF2B5EF4-FFF2-40B4-BE49-F238E27FC236}">
              <a16:creationId xmlns:a16="http://schemas.microsoft.com/office/drawing/2014/main" xmlns="" id="{00000000-0008-0000-00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4519"/>
        <a:stretch>
          <a:fillRect/>
        </a:stretch>
      </xdr:blipFill>
      <xdr:spPr>
        <a:xfrm>
          <a:off x="582705" y="21814491"/>
          <a:ext cx="820615" cy="482850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1626</xdr:row>
      <xdr:rowOff>44824</xdr:rowOff>
    </xdr:from>
    <xdr:to>
      <xdr:col>0</xdr:col>
      <xdr:colOff>1403752</xdr:colOff>
      <xdr:row>1627</xdr:row>
      <xdr:rowOff>23409</xdr:rowOff>
    </xdr:to>
    <xdr:pic>
      <xdr:nvPicPr>
        <xdr:cNvPr id="1746" name="Рисунок 1745">
          <a:extLst>
            <a:ext uri="{FF2B5EF4-FFF2-40B4-BE49-F238E27FC236}">
              <a16:creationId xmlns:a16="http://schemas.microsoft.com/office/drawing/2014/main" xmlns="" id="{00000000-0008-0000-00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6808"/>
        <a:stretch>
          <a:fillRect/>
        </a:stretch>
      </xdr:blipFill>
      <xdr:spPr>
        <a:xfrm>
          <a:off x="605117" y="22322118"/>
          <a:ext cx="798635" cy="482850"/>
        </a:xfrm>
        <a:prstGeom prst="rect">
          <a:avLst/>
        </a:prstGeom>
      </xdr:spPr>
    </xdr:pic>
    <xdr:clientData/>
  </xdr:twoCellAnchor>
  <xdr:twoCellAnchor>
    <xdr:from>
      <xdr:col>0</xdr:col>
      <xdr:colOff>639855</xdr:colOff>
      <xdr:row>1623</xdr:row>
      <xdr:rowOff>41462</xdr:rowOff>
    </xdr:from>
    <xdr:to>
      <xdr:col>0</xdr:col>
      <xdr:colOff>1401855</xdr:colOff>
      <xdr:row>1624</xdr:row>
      <xdr:rowOff>20048</xdr:rowOff>
    </xdr:to>
    <xdr:pic>
      <xdr:nvPicPr>
        <xdr:cNvPr id="1747" name="Рисунок 1746">
          <a:extLst>
            <a:ext uri="{FF2B5EF4-FFF2-40B4-BE49-F238E27FC236}">
              <a16:creationId xmlns:a16="http://schemas.microsoft.com/office/drawing/2014/main" xmlns="" id="{00000000-0008-0000-00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30" r="11695"/>
        <a:stretch>
          <a:fillRect/>
        </a:stretch>
      </xdr:blipFill>
      <xdr:spPr>
        <a:xfrm>
          <a:off x="639855" y="20805962"/>
          <a:ext cx="762000" cy="482851"/>
        </a:xfrm>
        <a:prstGeom prst="rect">
          <a:avLst/>
        </a:prstGeom>
      </xdr:spPr>
    </xdr:pic>
    <xdr:clientData/>
  </xdr:twoCellAnchor>
  <xdr:twoCellAnchor>
    <xdr:from>
      <xdr:col>0</xdr:col>
      <xdr:colOff>620805</xdr:colOff>
      <xdr:row>1631</xdr:row>
      <xdr:rowOff>41462</xdr:rowOff>
    </xdr:from>
    <xdr:to>
      <xdr:col>0</xdr:col>
      <xdr:colOff>1382805</xdr:colOff>
      <xdr:row>1632</xdr:row>
      <xdr:rowOff>20047</xdr:rowOff>
    </xdr:to>
    <xdr:pic>
      <xdr:nvPicPr>
        <xdr:cNvPr id="1748" name="Рисунок 1747">
          <a:extLst>
            <a:ext uri="{FF2B5EF4-FFF2-40B4-BE49-F238E27FC236}">
              <a16:creationId xmlns:a16="http://schemas.microsoft.com/office/drawing/2014/main" xmlns="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30" r="11695"/>
        <a:stretch>
          <a:fillRect/>
        </a:stretch>
      </xdr:blipFill>
      <xdr:spPr>
        <a:xfrm>
          <a:off x="620805" y="19797433"/>
          <a:ext cx="762000" cy="482849"/>
        </a:xfrm>
        <a:prstGeom prst="rect">
          <a:avLst/>
        </a:prstGeom>
      </xdr:spPr>
    </xdr:pic>
    <xdr:clientData/>
  </xdr:twoCellAnchor>
  <xdr:twoCellAnchor>
    <xdr:from>
      <xdr:col>0</xdr:col>
      <xdr:colOff>639855</xdr:colOff>
      <xdr:row>1633</xdr:row>
      <xdr:rowOff>41462</xdr:rowOff>
    </xdr:from>
    <xdr:to>
      <xdr:col>0</xdr:col>
      <xdr:colOff>1401855</xdr:colOff>
      <xdr:row>1634</xdr:row>
      <xdr:rowOff>0</xdr:rowOff>
    </xdr:to>
    <xdr:pic>
      <xdr:nvPicPr>
        <xdr:cNvPr id="1749" name="Рисунок 1748">
          <a:extLst>
            <a:ext uri="{FF2B5EF4-FFF2-40B4-BE49-F238E27FC236}">
              <a16:creationId xmlns:a16="http://schemas.microsoft.com/office/drawing/2014/main" xmlns="" id="{00000000-0008-0000-00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30" r="11695"/>
        <a:stretch>
          <a:fillRect/>
        </a:stretch>
      </xdr:blipFill>
      <xdr:spPr>
        <a:xfrm>
          <a:off x="639855" y="20805962"/>
          <a:ext cx="762000" cy="462803"/>
        </a:xfrm>
        <a:prstGeom prst="rect">
          <a:avLst/>
        </a:prstGeom>
      </xdr:spPr>
    </xdr:pic>
    <xdr:clientData/>
  </xdr:twoCellAnchor>
  <xdr:twoCellAnchor>
    <xdr:from>
      <xdr:col>0</xdr:col>
      <xdr:colOff>620805</xdr:colOff>
      <xdr:row>1632</xdr:row>
      <xdr:rowOff>41462</xdr:rowOff>
    </xdr:from>
    <xdr:to>
      <xdr:col>0</xdr:col>
      <xdr:colOff>1382805</xdr:colOff>
      <xdr:row>1633</xdr:row>
      <xdr:rowOff>20047</xdr:rowOff>
    </xdr:to>
    <xdr:pic>
      <xdr:nvPicPr>
        <xdr:cNvPr id="1750" name="Рисунок 1749">
          <a:extLst>
            <a:ext uri="{FF2B5EF4-FFF2-40B4-BE49-F238E27FC236}">
              <a16:creationId xmlns:a16="http://schemas.microsoft.com/office/drawing/2014/main" xmlns="" id="{00000000-0008-0000-00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30" r="11695"/>
        <a:stretch>
          <a:fillRect/>
        </a:stretch>
      </xdr:blipFill>
      <xdr:spPr>
        <a:xfrm>
          <a:off x="620805" y="20301697"/>
          <a:ext cx="762000" cy="482850"/>
        </a:xfrm>
        <a:prstGeom prst="rect">
          <a:avLst/>
        </a:prstGeom>
      </xdr:spPr>
    </xdr:pic>
    <xdr:clientData/>
  </xdr:twoCellAnchor>
  <xdr:twoCellAnchor>
    <xdr:from>
      <xdr:col>0</xdr:col>
      <xdr:colOff>894913</xdr:colOff>
      <xdr:row>1627</xdr:row>
      <xdr:rowOff>79562</xdr:rowOff>
    </xdr:from>
    <xdr:to>
      <xdr:col>0</xdr:col>
      <xdr:colOff>1248328</xdr:colOff>
      <xdr:row>1627</xdr:row>
      <xdr:rowOff>460562</xdr:rowOff>
    </xdr:to>
    <xdr:pic>
      <xdr:nvPicPr>
        <xdr:cNvPr id="1751" name="Рисунок 1750">
          <a:extLst>
            <a:ext uri="{FF2B5EF4-FFF2-40B4-BE49-F238E27FC236}">
              <a16:creationId xmlns:a16="http://schemas.microsoft.com/office/drawing/2014/main" xmlns="" id="{00000000-0008-0000-00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913" y="15801415"/>
          <a:ext cx="353415" cy="381000"/>
        </a:xfrm>
        <a:prstGeom prst="rect">
          <a:avLst/>
        </a:prstGeom>
      </xdr:spPr>
    </xdr:pic>
    <xdr:clientData/>
  </xdr:twoCellAnchor>
  <xdr:twoCellAnchor>
    <xdr:from>
      <xdr:col>0</xdr:col>
      <xdr:colOff>858931</xdr:colOff>
      <xdr:row>1628</xdr:row>
      <xdr:rowOff>60513</xdr:rowOff>
    </xdr:from>
    <xdr:to>
      <xdr:col>0</xdr:col>
      <xdr:colOff>1239931</xdr:colOff>
      <xdr:row>1628</xdr:row>
      <xdr:rowOff>494800</xdr:rowOff>
    </xdr:to>
    <xdr:pic>
      <xdr:nvPicPr>
        <xdr:cNvPr id="1752" name="Рисунок 1751">
          <a:extLst>
            <a:ext uri="{FF2B5EF4-FFF2-40B4-BE49-F238E27FC236}">
              <a16:creationId xmlns:a16="http://schemas.microsoft.com/office/drawing/2014/main" xmlns="" id="{00000000-0008-0000-0000-0000D8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87" t="4341" r="27673" b="7227"/>
        <a:stretch/>
      </xdr:blipFill>
      <xdr:spPr>
        <a:xfrm>
          <a:off x="858931" y="16286631"/>
          <a:ext cx="381000" cy="434287"/>
        </a:xfrm>
        <a:prstGeom prst="rect">
          <a:avLst/>
        </a:prstGeom>
      </xdr:spPr>
    </xdr:pic>
    <xdr:clientData/>
  </xdr:twoCellAnchor>
  <xdr:twoCellAnchor>
    <xdr:from>
      <xdr:col>0</xdr:col>
      <xdr:colOff>687480</xdr:colOff>
      <xdr:row>1629</xdr:row>
      <xdr:rowOff>50987</xdr:rowOff>
    </xdr:from>
    <xdr:to>
      <xdr:col>0</xdr:col>
      <xdr:colOff>1390783</xdr:colOff>
      <xdr:row>1629</xdr:row>
      <xdr:rowOff>470087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xmlns="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480" y="16781369"/>
          <a:ext cx="703303" cy="419100"/>
        </a:xfrm>
        <a:prstGeom prst="rect">
          <a:avLst/>
        </a:prstGeom>
      </xdr:spPr>
    </xdr:pic>
    <xdr:clientData/>
  </xdr:twoCellAnchor>
  <xdr:twoCellAnchor>
    <xdr:from>
      <xdr:col>0</xdr:col>
      <xdr:colOff>677955</xdr:colOff>
      <xdr:row>1630</xdr:row>
      <xdr:rowOff>60512</xdr:rowOff>
    </xdr:from>
    <xdr:to>
      <xdr:col>0</xdr:col>
      <xdr:colOff>1381258</xdr:colOff>
      <xdr:row>1630</xdr:row>
      <xdr:rowOff>479612</xdr:rowOff>
    </xdr:to>
    <xdr:pic>
      <xdr:nvPicPr>
        <xdr:cNvPr id="1754" name="Рисунок 1753">
          <a:extLst>
            <a:ext uri="{FF2B5EF4-FFF2-40B4-BE49-F238E27FC236}">
              <a16:creationId xmlns:a16="http://schemas.microsoft.com/office/drawing/2014/main" xmlns="" id="{00000000-0008-0000-00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55" y="17295159"/>
          <a:ext cx="703303" cy="419100"/>
        </a:xfrm>
        <a:prstGeom prst="rect">
          <a:avLst/>
        </a:prstGeom>
      </xdr:spPr>
    </xdr:pic>
    <xdr:clientData/>
  </xdr:twoCellAnchor>
  <xdr:twoCellAnchor>
    <xdr:from>
      <xdr:col>0</xdr:col>
      <xdr:colOff>699122</xdr:colOff>
      <xdr:row>1631</xdr:row>
      <xdr:rowOff>0</xdr:rowOff>
    </xdr:from>
    <xdr:to>
      <xdr:col>0</xdr:col>
      <xdr:colOff>1316433</xdr:colOff>
      <xdr:row>1631</xdr:row>
      <xdr:rowOff>15564</xdr:rowOff>
    </xdr:to>
    <xdr:pic>
      <xdr:nvPicPr>
        <xdr:cNvPr id="1758" name="Рисунок 1757">
          <a:extLst>
            <a:ext uri="{FF2B5EF4-FFF2-40B4-BE49-F238E27FC236}">
              <a16:creationId xmlns:a16="http://schemas.microsoft.com/office/drawing/2014/main" xmlns="" id="{00000000-0008-0000-0000-0000DE06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10" t="7959" r="14008" b="13917"/>
        <a:stretch/>
      </xdr:blipFill>
      <xdr:spPr>
        <a:xfrm>
          <a:off x="699122" y="19316451"/>
          <a:ext cx="617311" cy="455084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1635</xdr:row>
      <xdr:rowOff>11206</xdr:rowOff>
    </xdr:from>
    <xdr:to>
      <xdr:col>0</xdr:col>
      <xdr:colOff>1583206</xdr:colOff>
      <xdr:row>1635</xdr:row>
      <xdr:rowOff>494056</xdr:rowOff>
    </xdr:to>
    <xdr:pic>
      <xdr:nvPicPr>
        <xdr:cNvPr id="1766" name="Рисунок 1765">
          <a:extLst>
            <a:ext uri="{FF2B5EF4-FFF2-40B4-BE49-F238E27FC236}">
              <a16:creationId xmlns:a16="http://schemas.microsoft.com/office/drawing/2014/main" xmlns="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4724530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1634</xdr:row>
      <xdr:rowOff>11206</xdr:rowOff>
    </xdr:from>
    <xdr:to>
      <xdr:col>0</xdr:col>
      <xdr:colOff>1595918</xdr:colOff>
      <xdr:row>1634</xdr:row>
      <xdr:rowOff>494056</xdr:rowOff>
    </xdr:to>
    <xdr:pic>
      <xdr:nvPicPr>
        <xdr:cNvPr id="1767" name="Рисунок 1766">
          <a:extLst>
            <a:ext uri="{FF2B5EF4-FFF2-40B4-BE49-F238E27FC236}">
              <a16:creationId xmlns:a16="http://schemas.microsoft.com/office/drawing/2014/main" xmlns="" id="{00000000-0008-0000-00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4220265"/>
          <a:ext cx="833918" cy="482850"/>
        </a:xfrm>
        <a:prstGeom prst="rect">
          <a:avLst/>
        </a:prstGeom>
      </xdr:spPr>
    </xdr:pic>
    <xdr:clientData/>
  </xdr:twoCellAnchor>
  <xdr:twoCellAnchor>
    <xdr:from>
      <xdr:col>0</xdr:col>
      <xdr:colOff>773206</xdr:colOff>
      <xdr:row>1637</xdr:row>
      <xdr:rowOff>11206</xdr:rowOff>
    </xdr:from>
    <xdr:to>
      <xdr:col>0</xdr:col>
      <xdr:colOff>1583206</xdr:colOff>
      <xdr:row>1637</xdr:row>
      <xdr:rowOff>494056</xdr:rowOff>
    </xdr:to>
    <xdr:pic>
      <xdr:nvPicPr>
        <xdr:cNvPr id="1768" name="Рисунок 1767">
          <a:extLst>
            <a:ext uri="{FF2B5EF4-FFF2-40B4-BE49-F238E27FC236}">
              <a16:creationId xmlns:a16="http://schemas.microsoft.com/office/drawing/2014/main" xmlns="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206" y="15733059"/>
          <a:ext cx="810000" cy="48285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1636</xdr:row>
      <xdr:rowOff>11206</xdr:rowOff>
    </xdr:from>
    <xdr:to>
      <xdr:col>0</xdr:col>
      <xdr:colOff>1595918</xdr:colOff>
      <xdr:row>1636</xdr:row>
      <xdr:rowOff>494056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xmlns="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5228794"/>
          <a:ext cx="833918" cy="482850"/>
        </a:xfrm>
        <a:prstGeom prst="rect">
          <a:avLst/>
        </a:prstGeom>
      </xdr:spPr>
    </xdr:pic>
    <xdr:clientData/>
  </xdr:twoCellAnchor>
  <xdr:twoCellAnchor>
    <xdr:from>
      <xdr:col>0</xdr:col>
      <xdr:colOff>795619</xdr:colOff>
      <xdr:row>716</xdr:row>
      <xdr:rowOff>22412</xdr:rowOff>
    </xdr:from>
    <xdr:to>
      <xdr:col>0</xdr:col>
      <xdr:colOff>1515619</xdr:colOff>
      <xdr:row>717</xdr:row>
      <xdr:rowOff>0</xdr:rowOff>
    </xdr:to>
    <xdr:pic>
      <xdr:nvPicPr>
        <xdr:cNvPr id="1358" name="Рисунок 1357">
          <a:extLst>
            <a:ext uri="{FF2B5EF4-FFF2-40B4-BE49-F238E27FC236}">
              <a16:creationId xmlns:a16="http://schemas.microsoft.com/office/drawing/2014/main" xmlns="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5619" y="22803971"/>
          <a:ext cx="720000" cy="493058"/>
        </a:xfrm>
        <a:prstGeom prst="rect">
          <a:avLst/>
        </a:prstGeom>
      </xdr:spPr>
    </xdr:pic>
    <xdr:clientData/>
  </xdr:twoCellAnchor>
  <xdr:twoCellAnchor>
    <xdr:from>
      <xdr:col>0</xdr:col>
      <xdr:colOff>847727</xdr:colOff>
      <xdr:row>1321</xdr:row>
      <xdr:rowOff>12886</xdr:rowOff>
    </xdr:from>
    <xdr:to>
      <xdr:col>0</xdr:col>
      <xdr:colOff>1351431</xdr:colOff>
      <xdr:row>1321</xdr:row>
      <xdr:rowOff>490816</xdr:rowOff>
    </xdr:to>
    <xdr:pic>
      <xdr:nvPicPr>
        <xdr:cNvPr id="1347" name="Рисунок 1346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7" y="19264592"/>
          <a:ext cx="503704" cy="47793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1319</xdr:row>
      <xdr:rowOff>33618</xdr:rowOff>
    </xdr:from>
    <xdr:to>
      <xdr:col>0</xdr:col>
      <xdr:colOff>1482000</xdr:colOff>
      <xdr:row>1320</xdr:row>
      <xdr:rowOff>21728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xmlns="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6430324"/>
          <a:ext cx="720000" cy="492375"/>
        </a:xfrm>
        <a:prstGeom prst="rect">
          <a:avLst/>
        </a:prstGeom>
      </xdr:spPr>
    </xdr:pic>
    <xdr:clientData/>
  </xdr:twoCellAnchor>
  <xdr:twoCellAnchor>
    <xdr:from>
      <xdr:col>0</xdr:col>
      <xdr:colOff>757518</xdr:colOff>
      <xdr:row>1320</xdr:row>
      <xdr:rowOff>51547</xdr:rowOff>
    </xdr:from>
    <xdr:to>
      <xdr:col>0</xdr:col>
      <xdr:colOff>1477518</xdr:colOff>
      <xdr:row>1321</xdr:row>
      <xdr:rowOff>39658</xdr:rowOff>
    </xdr:to>
    <xdr:pic>
      <xdr:nvPicPr>
        <xdr:cNvPr id="1356" name="Рисунок 1355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518" y="36952518"/>
          <a:ext cx="720000" cy="492375"/>
        </a:xfrm>
        <a:prstGeom prst="rect">
          <a:avLst/>
        </a:prstGeom>
      </xdr:spPr>
    </xdr:pic>
    <xdr:clientData/>
  </xdr:twoCellAnchor>
  <xdr:twoCellAnchor>
    <xdr:from>
      <xdr:col>0</xdr:col>
      <xdr:colOff>838062</xdr:colOff>
      <xdr:row>693</xdr:row>
      <xdr:rowOff>8123</xdr:rowOff>
    </xdr:from>
    <xdr:to>
      <xdr:col>0</xdr:col>
      <xdr:colOff>1558062</xdr:colOff>
      <xdr:row>694</xdr:row>
      <xdr:rowOff>33618</xdr:rowOff>
    </xdr:to>
    <xdr:pic>
      <xdr:nvPicPr>
        <xdr:cNvPr id="1363" name="Рисунок 1362">
          <a:extLst>
            <a:ext uri="{FF2B5EF4-FFF2-40B4-BE49-F238E27FC236}">
              <a16:creationId xmlns:a16="http://schemas.microsoft.com/office/drawing/2014/main" xmlns="" id="{EAACD778-E122-4C8E-A668-F29A0EDDE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062" y="10687329"/>
          <a:ext cx="720000" cy="529760"/>
        </a:xfrm>
        <a:prstGeom prst="rect">
          <a:avLst/>
        </a:prstGeom>
      </xdr:spPr>
    </xdr:pic>
    <xdr:clientData/>
  </xdr:twoCellAnchor>
  <xdr:twoCellAnchor>
    <xdr:from>
      <xdr:col>0</xdr:col>
      <xdr:colOff>941295</xdr:colOff>
      <xdr:row>691</xdr:row>
      <xdr:rowOff>34371</xdr:rowOff>
    </xdr:from>
    <xdr:to>
      <xdr:col>0</xdr:col>
      <xdr:colOff>1535206</xdr:colOff>
      <xdr:row>691</xdr:row>
      <xdr:rowOff>491871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xmlns="" id="{E2BFCA32-18C1-471C-9336-0920EA9D3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295" y="9705047"/>
          <a:ext cx="593911" cy="457500"/>
        </a:xfrm>
        <a:prstGeom prst="rect">
          <a:avLst/>
        </a:prstGeom>
      </xdr:spPr>
    </xdr:pic>
    <xdr:clientData/>
  </xdr:twoCellAnchor>
  <xdr:twoCellAnchor>
    <xdr:from>
      <xdr:col>0</xdr:col>
      <xdr:colOff>896472</xdr:colOff>
      <xdr:row>692</xdr:row>
      <xdr:rowOff>0</xdr:rowOff>
    </xdr:from>
    <xdr:to>
      <xdr:col>0</xdr:col>
      <xdr:colOff>1524000</xdr:colOff>
      <xdr:row>692</xdr:row>
      <xdr:rowOff>483397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xmlns="" id="{584BD62D-5CC3-4685-8985-AE901A46E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2" y="10174941"/>
          <a:ext cx="627528" cy="483397"/>
        </a:xfrm>
        <a:prstGeom prst="rect">
          <a:avLst/>
        </a:prstGeom>
      </xdr:spPr>
    </xdr:pic>
    <xdr:clientData/>
  </xdr:twoCellAnchor>
  <xdr:twoCellAnchor>
    <xdr:from>
      <xdr:col>0</xdr:col>
      <xdr:colOff>887506</xdr:colOff>
      <xdr:row>1642</xdr:row>
      <xdr:rowOff>488016</xdr:rowOff>
    </xdr:from>
    <xdr:to>
      <xdr:col>0</xdr:col>
      <xdr:colOff>1524404</xdr:colOff>
      <xdr:row>1643</xdr:row>
      <xdr:rowOff>421901</xdr:rowOff>
    </xdr:to>
    <xdr:pic>
      <xdr:nvPicPr>
        <xdr:cNvPr id="1348" name="Рисунок 1347">
          <a:extLst>
            <a:ext uri="{FF2B5EF4-FFF2-40B4-BE49-F238E27FC236}">
              <a16:creationId xmlns:a16="http://schemas.microsoft.com/office/drawing/2014/main" xmlns="" id="{5A2A7ACC-BE51-476C-8E97-FF2D31D6C8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11" t="15625" r="12841" b="21224"/>
        <a:stretch/>
      </xdr:blipFill>
      <xdr:spPr>
        <a:xfrm>
          <a:off x="887506" y="12680016"/>
          <a:ext cx="636898" cy="438150"/>
        </a:xfrm>
        <a:prstGeom prst="rect">
          <a:avLst/>
        </a:prstGeom>
      </xdr:spPr>
    </xdr:pic>
    <xdr:clientData/>
  </xdr:twoCellAnchor>
  <xdr:twoCellAnchor>
    <xdr:from>
      <xdr:col>0</xdr:col>
      <xdr:colOff>877981</xdr:colOff>
      <xdr:row>1649</xdr:row>
      <xdr:rowOff>481535</xdr:rowOff>
    </xdr:from>
    <xdr:to>
      <xdr:col>0</xdr:col>
      <xdr:colOff>1554256</xdr:colOff>
      <xdr:row>1650</xdr:row>
      <xdr:rowOff>450476</xdr:rowOff>
    </xdr:to>
    <xdr:pic>
      <xdr:nvPicPr>
        <xdr:cNvPr id="1364" name="Рисунок 1363">
          <a:extLst>
            <a:ext uri="{FF2B5EF4-FFF2-40B4-BE49-F238E27FC236}">
              <a16:creationId xmlns:a16="http://schemas.microsoft.com/office/drawing/2014/main" xmlns="" id="{DCBBE8AA-C8C7-465F-9C2E-8810904EC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1" t="4883" r="6006" b="12435"/>
        <a:stretch/>
      </xdr:blipFill>
      <xdr:spPr>
        <a:xfrm>
          <a:off x="877981" y="16203388"/>
          <a:ext cx="676275" cy="473206"/>
        </a:xfrm>
        <a:prstGeom prst="rect">
          <a:avLst/>
        </a:prstGeom>
      </xdr:spPr>
    </xdr:pic>
    <xdr:clientData/>
  </xdr:twoCellAnchor>
  <xdr:twoCellAnchor>
    <xdr:from>
      <xdr:col>0</xdr:col>
      <xdr:colOff>830356</xdr:colOff>
      <xdr:row>1656</xdr:row>
      <xdr:rowOff>427998</xdr:rowOff>
    </xdr:from>
    <xdr:to>
      <xdr:col>0</xdr:col>
      <xdr:colOff>1592356</xdr:colOff>
      <xdr:row>1657</xdr:row>
      <xdr:rowOff>481701</xdr:rowOff>
    </xdr:to>
    <xdr:pic>
      <xdr:nvPicPr>
        <xdr:cNvPr id="1365" name="Рисунок 1364">
          <a:extLst>
            <a:ext uri="{FF2B5EF4-FFF2-40B4-BE49-F238E27FC236}">
              <a16:creationId xmlns:a16="http://schemas.microsoft.com/office/drawing/2014/main" xmlns="" id="{ECFAA127-8D3A-47B1-9379-3038FD309D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68" t="5534" r="6250" b="10156"/>
        <a:stretch/>
      </xdr:blipFill>
      <xdr:spPr>
        <a:xfrm>
          <a:off x="830356" y="19679704"/>
          <a:ext cx="762000" cy="557968"/>
        </a:xfrm>
        <a:prstGeom prst="rect">
          <a:avLst/>
        </a:prstGeom>
      </xdr:spPr>
    </xdr:pic>
    <xdr:clientData/>
  </xdr:twoCellAnchor>
  <xdr:twoCellAnchor>
    <xdr:from>
      <xdr:col>0</xdr:col>
      <xdr:colOff>839881</xdr:colOff>
      <xdr:row>1663</xdr:row>
      <xdr:rowOff>481640</xdr:rowOff>
    </xdr:from>
    <xdr:to>
      <xdr:col>0</xdr:col>
      <xdr:colOff>1535206</xdr:colOff>
      <xdr:row>1664</xdr:row>
      <xdr:rowOff>431426</xdr:rowOff>
    </xdr:to>
    <xdr:pic>
      <xdr:nvPicPr>
        <xdr:cNvPr id="1366" name="Рисунок 1365">
          <a:extLst>
            <a:ext uri="{FF2B5EF4-FFF2-40B4-BE49-F238E27FC236}">
              <a16:creationId xmlns:a16="http://schemas.microsoft.com/office/drawing/2014/main" xmlns="" id="{0D6DF9EF-8269-4C05-8399-D1BEC53FB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39" t="7161" r="6006" b="15039"/>
        <a:stretch/>
      </xdr:blipFill>
      <xdr:spPr>
        <a:xfrm>
          <a:off x="839881" y="23263199"/>
          <a:ext cx="695325" cy="454051"/>
        </a:xfrm>
        <a:prstGeom prst="rect">
          <a:avLst/>
        </a:prstGeom>
      </xdr:spPr>
    </xdr:pic>
    <xdr:clientData/>
  </xdr:twoCellAnchor>
  <xdr:twoCellAnchor>
    <xdr:from>
      <xdr:col>0</xdr:col>
      <xdr:colOff>954181</xdr:colOff>
      <xdr:row>1637</xdr:row>
      <xdr:rowOff>459441</xdr:rowOff>
    </xdr:from>
    <xdr:to>
      <xdr:col>0</xdr:col>
      <xdr:colOff>1500744</xdr:colOff>
      <xdr:row>1638</xdr:row>
      <xdr:rowOff>478491</xdr:rowOff>
    </xdr:to>
    <xdr:pic>
      <xdr:nvPicPr>
        <xdr:cNvPr id="1372" name="Рисунок 1371">
          <a:extLst>
            <a:ext uri="{FF2B5EF4-FFF2-40B4-BE49-F238E27FC236}">
              <a16:creationId xmlns:a16="http://schemas.microsoft.com/office/drawing/2014/main" xmlns="" id="{716B7383-409F-4587-A618-0227A855EF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76" t="6184" r="15528" b="11134"/>
        <a:stretch/>
      </xdr:blipFill>
      <xdr:spPr>
        <a:xfrm>
          <a:off x="954181" y="10130117"/>
          <a:ext cx="546563" cy="523315"/>
        </a:xfrm>
        <a:prstGeom prst="rect">
          <a:avLst/>
        </a:prstGeom>
      </xdr:spPr>
    </xdr:pic>
    <xdr:clientData/>
  </xdr:twoCellAnchor>
  <xdr:twoCellAnchor>
    <xdr:from>
      <xdr:col>0</xdr:col>
      <xdr:colOff>963706</xdr:colOff>
      <xdr:row>1638</xdr:row>
      <xdr:rowOff>450476</xdr:rowOff>
    </xdr:from>
    <xdr:to>
      <xdr:col>0</xdr:col>
      <xdr:colOff>1510269</xdr:colOff>
      <xdr:row>1639</xdr:row>
      <xdr:rowOff>468967</xdr:rowOff>
    </xdr:to>
    <xdr:pic>
      <xdr:nvPicPr>
        <xdr:cNvPr id="1373" name="Рисунок 1372">
          <a:extLst>
            <a:ext uri="{FF2B5EF4-FFF2-40B4-BE49-F238E27FC236}">
              <a16:creationId xmlns:a16="http://schemas.microsoft.com/office/drawing/2014/main" xmlns="" id="{226C11D1-A751-4DAA-8088-E39048EB06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76" t="6184" r="15528" b="11134"/>
        <a:stretch/>
      </xdr:blipFill>
      <xdr:spPr>
        <a:xfrm>
          <a:off x="963706" y="10625417"/>
          <a:ext cx="546563" cy="522756"/>
        </a:xfrm>
        <a:prstGeom prst="rect">
          <a:avLst/>
        </a:prstGeom>
      </xdr:spPr>
    </xdr:pic>
    <xdr:clientData/>
  </xdr:twoCellAnchor>
  <xdr:twoCellAnchor>
    <xdr:from>
      <xdr:col>0</xdr:col>
      <xdr:colOff>944656</xdr:colOff>
      <xdr:row>1639</xdr:row>
      <xdr:rowOff>440951</xdr:rowOff>
    </xdr:from>
    <xdr:to>
      <xdr:col>0</xdr:col>
      <xdr:colOff>1491219</xdr:colOff>
      <xdr:row>1640</xdr:row>
      <xdr:rowOff>459442</xdr:rowOff>
    </xdr:to>
    <xdr:pic>
      <xdr:nvPicPr>
        <xdr:cNvPr id="1374" name="Рисунок 1373">
          <a:extLst>
            <a:ext uri="{FF2B5EF4-FFF2-40B4-BE49-F238E27FC236}">
              <a16:creationId xmlns:a16="http://schemas.microsoft.com/office/drawing/2014/main" xmlns="" id="{FA0B33DC-B3E0-4002-9709-92D0D1CBD4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76" t="6184" r="15528" b="11134"/>
        <a:stretch/>
      </xdr:blipFill>
      <xdr:spPr>
        <a:xfrm>
          <a:off x="944656" y="11120157"/>
          <a:ext cx="546563" cy="522756"/>
        </a:xfrm>
        <a:prstGeom prst="rect">
          <a:avLst/>
        </a:prstGeom>
      </xdr:spPr>
    </xdr:pic>
    <xdr:clientData/>
  </xdr:twoCellAnchor>
  <xdr:twoCellAnchor>
    <xdr:from>
      <xdr:col>0</xdr:col>
      <xdr:colOff>944656</xdr:colOff>
      <xdr:row>1640</xdr:row>
      <xdr:rowOff>450476</xdr:rowOff>
    </xdr:from>
    <xdr:to>
      <xdr:col>0</xdr:col>
      <xdr:colOff>1491219</xdr:colOff>
      <xdr:row>1641</xdr:row>
      <xdr:rowOff>468966</xdr:rowOff>
    </xdr:to>
    <xdr:pic>
      <xdr:nvPicPr>
        <xdr:cNvPr id="1375" name="Рисунок 1374">
          <a:extLst>
            <a:ext uri="{FF2B5EF4-FFF2-40B4-BE49-F238E27FC236}">
              <a16:creationId xmlns:a16="http://schemas.microsoft.com/office/drawing/2014/main" xmlns="" id="{1C298941-D036-4953-A94A-2530BB0562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76" t="6184" r="15528" b="11134"/>
        <a:stretch/>
      </xdr:blipFill>
      <xdr:spPr>
        <a:xfrm>
          <a:off x="944656" y="11633947"/>
          <a:ext cx="546563" cy="522754"/>
        </a:xfrm>
        <a:prstGeom prst="rect">
          <a:avLst/>
        </a:prstGeom>
      </xdr:spPr>
    </xdr:pic>
    <xdr:clientData/>
  </xdr:twoCellAnchor>
  <xdr:twoCellAnchor>
    <xdr:from>
      <xdr:col>0</xdr:col>
      <xdr:colOff>954181</xdr:colOff>
      <xdr:row>1641</xdr:row>
      <xdr:rowOff>459440</xdr:rowOff>
    </xdr:from>
    <xdr:to>
      <xdr:col>0</xdr:col>
      <xdr:colOff>1500744</xdr:colOff>
      <xdr:row>1642</xdr:row>
      <xdr:rowOff>478492</xdr:rowOff>
    </xdr:to>
    <xdr:pic>
      <xdr:nvPicPr>
        <xdr:cNvPr id="1416" name="Рисунок 1415">
          <a:extLst>
            <a:ext uri="{FF2B5EF4-FFF2-40B4-BE49-F238E27FC236}">
              <a16:creationId xmlns:a16="http://schemas.microsoft.com/office/drawing/2014/main" xmlns="" id="{1C304D8F-E17B-465E-927D-8E89FA2D6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76" t="6184" r="15528" b="11134"/>
        <a:stretch/>
      </xdr:blipFill>
      <xdr:spPr>
        <a:xfrm>
          <a:off x="954181" y="12147175"/>
          <a:ext cx="546563" cy="523317"/>
        </a:xfrm>
        <a:prstGeom prst="rect">
          <a:avLst/>
        </a:prstGeom>
      </xdr:spPr>
    </xdr:pic>
    <xdr:clientData/>
  </xdr:twoCellAnchor>
  <xdr:twoCellAnchor>
    <xdr:from>
      <xdr:col>0</xdr:col>
      <xdr:colOff>954181</xdr:colOff>
      <xdr:row>1643</xdr:row>
      <xdr:rowOff>450476</xdr:rowOff>
    </xdr:from>
    <xdr:to>
      <xdr:col>0</xdr:col>
      <xdr:colOff>1500744</xdr:colOff>
      <xdr:row>1644</xdr:row>
      <xdr:rowOff>468967</xdr:rowOff>
    </xdr:to>
    <xdr:pic>
      <xdr:nvPicPr>
        <xdr:cNvPr id="1467" name="Рисунок 1466">
          <a:extLst>
            <a:ext uri="{FF2B5EF4-FFF2-40B4-BE49-F238E27FC236}">
              <a16:creationId xmlns:a16="http://schemas.microsoft.com/office/drawing/2014/main" xmlns="" id="{20FDBECB-4615-4E1F-AE0C-B9AC3A3799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76" t="6184" r="15528" b="11134"/>
        <a:stretch/>
      </xdr:blipFill>
      <xdr:spPr>
        <a:xfrm>
          <a:off x="954181" y="13146741"/>
          <a:ext cx="546563" cy="522755"/>
        </a:xfrm>
        <a:prstGeom prst="rect">
          <a:avLst/>
        </a:prstGeom>
      </xdr:spPr>
    </xdr:pic>
    <xdr:clientData/>
  </xdr:twoCellAnchor>
  <xdr:twoCellAnchor>
    <xdr:from>
      <xdr:col>0</xdr:col>
      <xdr:colOff>858932</xdr:colOff>
      <xdr:row>1644</xdr:row>
      <xdr:rowOff>468965</xdr:rowOff>
    </xdr:from>
    <xdr:to>
      <xdr:col>0</xdr:col>
      <xdr:colOff>1565918</xdr:colOff>
      <xdr:row>1645</xdr:row>
      <xdr:rowOff>459440</xdr:rowOff>
    </xdr:to>
    <xdr:pic>
      <xdr:nvPicPr>
        <xdr:cNvPr id="1688" name="Рисунок 1687">
          <a:extLst>
            <a:ext uri="{FF2B5EF4-FFF2-40B4-BE49-F238E27FC236}">
              <a16:creationId xmlns:a16="http://schemas.microsoft.com/office/drawing/2014/main" xmlns="" id="{CA3DEEF3-065B-4B3E-9A7A-FA58261F10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5" t="10742" r="7471" b="10808"/>
        <a:stretch/>
      </xdr:blipFill>
      <xdr:spPr>
        <a:xfrm>
          <a:off x="858932" y="13669494"/>
          <a:ext cx="706986" cy="494740"/>
        </a:xfrm>
        <a:prstGeom prst="rect">
          <a:avLst/>
        </a:prstGeom>
      </xdr:spPr>
    </xdr:pic>
    <xdr:clientData/>
  </xdr:twoCellAnchor>
  <xdr:twoCellAnchor>
    <xdr:from>
      <xdr:col>0</xdr:col>
      <xdr:colOff>849406</xdr:colOff>
      <xdr:row>1645</xdr:row>
      <xdr:rowOff>468965</xdr:rowOff>
    </xdr:from>
    <xdr:to>
      <xdr:col>0</xdr:col>
      <xdr:colOff>1556392</xdr:colOff>
      <xdr:row>1646</xdr:row>
      <xdr:rowOff>459442</xdr:rowOff>
    </xdr:to>
    <xdr:pic>
      <xdr:nvPicPr>
        <xdr:cNvPr id="1712" name="Рисунок 1711">
          <a:extLst>
            <a:ext uri="{FF2B5EF4-FFF2-40B4-BE49-F238E27FC236}">
              <a16:creationId xmlns:a16="http://schemas.microsoft.com/office/drawing/2014/main" xmlns="" id="{F8A8937E-3EA6-4C60-A3C0-F66953EA5E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5" t="10742" r="7471" b="10808"/>
        <a:stretch/>
      </xdr:blipFill>
      <xdr:spPr>
        <a:xfrm>
          <a:off x="849406" y="14173759"/>
          <a:ext cx="706986" cy="494742"/>
        </a:xfrm>
        <a:prstGeom prst="rect">
          <a:avLst/>
        </a:prstGeom>
      </xdr:spPr>
    </xdr:pic>
    <xdr:clientData/>
  </xdr:twoCellAnchor>
  <xdr:twoCellAnchor>
    <xdr:from>
      <xdr:col>0</xdr:col>
      <xdr:colOff>897031</xdr:colOff>
      <xdr:row>1646</xdr:row>
      <xdr:rowOff>468966</xdr:rowOff>
    </xdr:from>
    <xdr:to>
      <xdr:col>0</xdr:col>
      <xdr:colOff>1604017</xdr:colOff>
      <xdr:row>1647</xdr:row>
      <xdr:rowOff>459442</xdr:rowOff>
    </xdr:to>
    <xdr:pic>
      <xdr:nvPicPr>
        <xdr:cNvPr id="1713" name="Рисунок 1712">
          <a:extLst>
            <a:ext uri="{FF2B5EF4-FFF2-40B4-BE49-F238E27FC236}">
              <a16:creationId xmlns:a16="http://schemas.microsoft.com/office/drawing/2014/main" xmlns="" id="{84ADDBAE-D0DD-47A0-BB66-C3249623D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5" t="10742" r="7471" b="10808"/>
        <a:stretch/>
      </xdr:blipFill>
      <xdr:spPr>
        <a:xfrm>
          <a:off x="897031" y="14678025"/>
          <a:ext cx="706986" cy="494741"/>
        </a:xfrm>
        <a:prstGeom prst="rect">
          <a:avLst/>
        </a:prstGeom>
      </xdr:spPr>
    </xdr:pic>
    <xdr:clientData/>
  </xdr:twoCellAnchor>
  <xdr:twoCellAnchor>
    <xdr:from>
      <xdr:col>0</xdr:col>
      <xdr:colOff>868456</xdr:colOff>
      <xdr:row>1647</xdr:row>
      <xdr:rowOff>459441</xdr:rowOff>
    </xdr:from>
    <xdr:to>
      <xdr:col>0</xdr:col>
      <xdr:colOff>1575442</xdr:colOff>
      <xdr:row>1648</xdr:row>
      <xdr:rowOff>450477</xdr:rowOff>
    </xdr:to>
    <xdr:pic>
      <xdr:nvPicPr>
        <xdr:cNvPr id="1715" name="Рисунок 1714">
          <a:extLst>
            <a:ext uri="{FF2B5EF4-FFF2-40B4-BE49-F238E27FC236}">
              <a16:creationId xmlns:a16="http://schemas.microsoft.com/office/drawing/2014/main" xmlns="" id="{9B04E568-5683-4DD7-BA4B-C4757B1B2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5" t="10742" r="7471" b="10808"/>
        <a:stretch/>
      </xdr:blipFill>
      <xdr:spPr>
        <a:xfrm>
          <a:off x="868456" y="15172765"/>
          <a:ext cx="706986" cy="495300"/>
        </a:xfrm>
        <a:prstGeom prst="rect">
          <a:avLst/>
        </a:prstGeom>
      </xdr:spPr>
    </xdr:pic>
    <xdr:clientData/>
  </xdr:twoCellAnchor>
  <xdr:twoCellAnchor>
    <xdr:from>
      <xdr:col>0</xdr:col>
      <xdr:colOff>897031</xdr:colOff>
      <xdr:row>1648</xdr:row>
      <xdr:rowOff>459440</xdr:rowOff>
    </xdr:from>
    <xdr:to>
      <xdr:col>0</xdr:col>
      <xdr:colOff>1604017</xdr:colOff>
      <xdr:row>1649</xdr:row>
      <xdr:rowOff>450477</xdr:rowOff>
    </xdr:to>
    <xdr:pic>
      <xdr:nvPicPr>
        <xdr:cNvPr id="1755" name="Рисунок 1754">
          <a:extLst>
            <a:ext uri="{FF2B5EF4-FFF2-40B4-BE49-F238E27FC236}">
              <a16:creationId xmlns:a16="http://schemas.microsoft.com/office/drawing/2014/main" xmlns="" id="{1818E50E-8459-43E3-8632-F5294045C9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5" t="10742" r="7471" b="10808"/>
        <a:stretch/>
      </xdr:blipFill>
      <xdr:spPr>
        <a:xfrm>
          <a:off x="897031" y="15677028"/>
          <a:ext cx="706986" cy="495302"/>
        </a:xfrm>
        <a:prstGeom prst="rect">
          <a:avLst/>
        </a:prstGeom>
      </xdr:spPr>
    </xdr:pic>
    <xdr:clientData/>
  </xdr:twoCellAnchor>
  <xdr:twoCellAnchor>
    <xdr:from>
      <xdr:col>0</xdr:col>
      <xdr:colOff>849406</xdr:colOff>
      <xdr:row>1650</xdr:row>
      <xdr:rowOff>459441</xdr:rowOff>
    </xdr:from>
    <xdr:to>
      <xdr:col>0</xdr:col>
      <xdr:colOff>1556392</xdr:colOff>
      <xdr:row>1651</xdr:row>
      <xdr:rowOff>450477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xmlns="" id="{5EDC537A-11B9-4AB0-ABFD-7738CFE1BA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5" t="10742" r="7471" b="10808"/>
        <a:stretch/>
      </xdr:blipFill>
      <xdr:spPr>
        <a:xfrm>
          <a:off x="849406" y="16685559"/>
          <a:ext cx="706986" cy="495300"/>
        </a:xfrm>
        <a:prstGeom prst="rect">
          <a:avLst/>
        </a:prstGeom>
      </xdr:spPr>
    </xdr:pic>
    <xdr:clientData/>
  </xdr:twoCellAnchor>
  <xdr:twoCellAnchor>
    <xdr:from>
      <xdr:col>0</xdr:col>
      <xdr:colOff>830356</xdr:colOff>
      <xdr:row>1651</xdr:row>
      <xdr:rowOff>440951</xdr:rowOff>
    </xdr:from>
    <xdr:to>
      <xdr:col>0</xdr:col>
      <xdr:colOff>1589414</xdr:colOff>
      <xdr:row>1652</xdr:row>
      <xdr:rowOff>431426</xdr:rowOff>
    </xdr:to>
    <xdr:pic>
      <xdr:nvPicPr>
        <xdr:cNvPr id="1762" name="Рисунок 1761">
          <a:extLst>
            <a:ext uri="{FF2B5EF4-FFF2-40B4-BE49-F238E27FC236}">
              <a16:creationId xmlns:a16="http://schemas.microsoft.com/office/drawing/2014/main" xmlns="" id="{94AA4CFC-B0F2-4DDC-BC41-6D10C60ECA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1" t="6511" r="3808" b="13412"/>
        <a:stretch/>
      </xdr:blipFill>
      <xdr:spPr>
        <a:xfrm>
          <a:off x="830356" y="17171333"/>
          <a:ext cx="759058" cy="494740"/>
        </a:xfrm>
        <a:prstGeom prst="rect">
          <a:avLst/>
        </a:prstGeom>
      </xdr:spPr>
    </xdr:pic>
    <xdr:clientData/>
  </xdr:twoCellAnchor>
  <xdr:twoCellAnchor>
    <xdr:from>
      <xdr:col>0</xdr:col>
      <xdr:colOff>820831</xdr:colOff>
      <xdr:row>1652</xdr:row>
      <xdr:rowOff>450476</xdr:rowOff>
    </xdr:from>
    <xdr:to>
      <xdr:col>0</xdr:col>
      <xdr:colOff>1579889</xdr:colOff>
      <xdr:row>1653</xdr:row>
      <xdr:rowOff>440951</xdr:rowOff>
    </xdr:to>
    <xdr:pic>
      <xdr:nvPicPr>
        <xdr:cNvPr id="1763" name="Рисунок 1762">
          <a:extLst>
            <a:ext uri="{FF2B5EF4-FFF2-40B4-BE49-F238E27FC236}">
              <a16:creationId xmlns:a16="http://schemas.microsoft.com/office/drawing/2014/main" xmlns="" id="{6A6C9A91-A040-4C9F-A50B-6DF93C4C29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1" t="6511" r="3808" b="13412"/>
        <a:stretch/>
      </xdr:blipFill>
      <xdr:spPr>
        <a:xfrm>
          <a:off x="820831" y="17685123"/>
          <a:ext cx="759058" cy="494740"/>
        </a:xfrm>
        <a:prstGeom prst="rect">
          <a:avLst/>
        </a:prstGeom>
      </xdr:spPr>
    </xdr:pic>
    <xdr:clientData/>
  </xdr:twoCellAnchor>
  <xdr:twoCellAnchor>
    <xdr:from>
      <xdr:col>0</xdr:col>
      <xdr:colOff>820831</xdr:colOff>
      <xdr:row>1653</xdr:row>
      <xdr:rowOff>440951</xdr:rowOff>
    </xdr:from>
    <xdr:to>
      <xdr:col>0</xdr:col>
      <xdr:colOff>1579889</xdr:colOff>
      <xdr:row>1654</xdr:row>
      <xdr:rowOff>431426</xdr:rowOff>
    </xdr:to>
    <xdr:pic>
      <xdr:nvPicPr>
        <xdr:cNvPr id="1764" name="Рисунок 1763">
          <a:extLst>
            <a:ext uri="{FF2B5EF4-FFF2-40B4-BE49-F238E27FC236}">
              <a16:creationId xmlns:a16="http://schemas.microsoft.com/office/drawing/2014/main" xmlns="" id="{616DCF67-E985-45A8-AD72-388E7F157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1" t="6511" r="3808" b="13412"/>
        <a:stretch/>
      </xdr:blipFill>
      <xdr:spPr>
        <a:xfrm>
          <a:off x="820831" y="18179863"/>
          <a:ext cx="759058" cy="494739"/>
        </a:xfrm>
        <a:prstGeom prst="rect">
          <a:avLst/>
        </a:prstGeom>
      </xdr:spPr>
    </xdr:pic>
    <xdr:clientData/>
  </xdr:twoCellAnchor>
  <xdr:twoCellAnchor>
    <xdr:from>
      <xdr:col>0</xdr:col>
      <xdr:colOff>830356</xdr:colOff>
      <xdr:row>1654</xdr:row>
      <xdr:rowOff>459441</xdr:rowOff>
    </xdr:from>
    <xdr:to>
      <xdr:col>0</xdr:col>
      <xdr:colOff>1589414</xdr:colOff>
      <xdr:row>1655</xdr:row>
      <xdr:rowOff>450476</xdr:rowOff>
    </xdr:to>
    <xdr:pic>
      <xdr:nvPicPr>
        <xdr:cNvPr id="1765" name="Рисунок 1764">
          <a:extLst>
            <a:ext uri="{FF2B5EF4-FFF2-40B4-BE49-F238E27FC236}">
              <a16:creationId xmlns:a16="http://schemas.microsoft.com/office/drawing/2014/main" xmlns="" id="{E086BE39-4A09-4C14-B21C-9EE39A2ED9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1" t="6511" r="3808" b="13412"/>
        <a:stretch/>
      </xdr:blipFill>
      <xdr:spPr>
        <a:xfrm>
          <a:off x="830356" y="18702617"/>
          <a:ext cx="759058" cy="495300"/>
        </a:xfrm>
        <a:prstGeom prst="rect">
          <a:avLst/>
        </a:prstGeom>
      </xdr:spPr>
    </xdr:pic>
    <xdr:clientData/>
  </xdr:twoCellAnchor>
  <xdr:twoCellAnchor>
    <xdr:from>
      <xdr:col>0</xdr:col>
      <xdr:colOff>839881</xdr:colOff>
      <xdr:row>1655</xdr:row>
      <xdr:rowOff>450476</xdr:rowOff>
    </xdr:from>
    <xdr:to>
      <xdr:col>0</xdr:col>
      <xdr:colOff>1598939</xdr:colOff>
      <xdr:row>1656</xdr:row>
      <xdr:rowOff>440951</xdr:rowOff>
    </xdr:to>
    <xdr:pic>
      <xdr:nvPicPr>
        <xdr:cNvPr id="1770" name="Рисунок 1769">
          <a:extLst>
            <a:ext uri="{FF2B5EF4-FFF2-40B4-BE49-F238E27FC236}">
              <a16:creationId xmlns:a16="http://schemas.microsoft.com/office/drawing/2014/main" xmlns="" id="{E72E70F9-657C-4150-854E-AE2BE26638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1" t="6511" r="3808" b="13412"/>
        <a:stretch/>
      </xdr:blipFill>
      <xdr:spPr>
        <a:xfrm>
          <a:off x="839881" y="19197917"/>
          <a:ext cx="759058" cy="494740"/>
        </a:xfrm>
        <a:prstGeom prst="rect">
          <a:avLst/>
        </a:prstGeom>
      </xdr:spPr>
    </xdr:pic>
    <xdr:clientData/>
  </xdr:twoCellAnchor>
  <xdr:twoCellAnchor>
    <xdr:from>
      <xdr:col>0</xdr:col>
      <xdr:colOff>839881</xdr:colOff>
      <xdr:row>1657</xdr:row>
      <xdr:rowOff>450476</xdr:rowOff>
    </xdr:from>
    <xdr:to>
      <xdr:col>0</xdr:col>
      <xdr:colOff>1598939</xdr:colOff>
      <xdr:row>1658</xdr:row>
      <xdr:rowOff>440951</xdr:rowOff>
    </xdr:to>
    <xdr:pic>
      <xdr:nvPicPr>
        <xdr:cNvPr id="1771" name="Рисунок 1770">
          <a:extLst>
            <a:ext uri="{FF2B5EF4-FFF2-40B4-BE49-F238E27FC236}">
              <a16:creationId xmlns:a16="http://schemas.microsoft.com/office/drawing/2014/main" xmlns="" id="{E02764ED-CE0D-4086-B4DC-51CF74CD78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51" t="6511" r="3808" b="13412"/>
        <a:stretch/>
      </xdr:blipFill>
      <xdr:spPr>
        <a:xfrm>
          <a:off x="839881" y="20206447"/>
          <a:ext cx="759058" cy="494739"/>
        </a:xfrm>
        <a:prstGeom prst="rect">
          <a:avLst/>
        </a:prstGeom>
      </xdr:spPr>
    </xdr:pic>
    <xdr:clientData/>
  </xdr:twoCellAnchor>
  <xdr:twoCellAnchor>
    <xdr:from>
      <xdr:col>0</xdr:col>
      <xdr:colOff>830356</xdr:colOff>
      <xdr:row>1658</xdr:row>
      <xdr:rowOff>440951</xdr:rowOff>
    </xdr:from>
    <xdr:to>
      <xdr:col>0</xdr:col>
      <xdr:colOff>1571048</xdr:colOff>
      <xdr:row>1659</xdr:row>
      <xdr:rowOff>488016</xdr:rowOff>
    </xdr:to>
    <xdr:pic>
      <xdr:nvPicPr>
        <xdr:cNvPr id="1772" name="Рисунок 1771">
          <a:extLst>
            <a:ext uri="{FF2B5EF4-FFF2-40B4-BE49-F238E27FC236}">
              <a16:creationId xmlns:a16="http://schemas.microsoft.com/office/drawing/2014/main" xmlns="" id="{8BAD8A92-93F8-4B77-9746-8A722FCE9B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68" t="3255" r="4053" b="8854"/>
        <a:stretch/>
      </xdr:blipFill>
      <xdr:spPr>
        <a:xfrm>
          <a:off x="830356" y="20701186"/>
          <a:ext cx="740692" cy="551330"/>
        </a:xfrm>
        <a:prstGeom prst="rect">
          <a:avLst/>
        </a:prstGeom>
      </xdr:spPr>
    </xdr:pic>
    <xdr:clientData/>
  </xdr:twoCellAnchor>
  <xdr:twoCellAnchor>
    <xdr:from>
      <xdr:col>0</xdr:col>
      <xdr:colOff>849406</xdr:colOff>
      <xdr:row>1659</xdr:row>
      <xdr:rowOff>431426</xdr:rowOff>
    </xdr:from>
    <xdr:to>
      <xdr:col>0</xdr:col>
      <xdr:colOff>1590098</xdr:colOff>
      <xdr:row>1660</xdr:row>
      <xdr:rowOff>478491</xdr:rowOff>
    </xdr:to>
    <xdr:pic>
      <xdr:nvPicPr>
        <xdr:cNvPr id="1773" name="Рисунок 1772">
          <a:extLst>
            <a:ext uri="{FF2B5EF4-FFF2-40B4-BE49-F238E27FC236}">
              <a16:creationId xmlns:a16="http://schemas.microsoft.com/office/drawing/2014/main" xmlns="" id="{B6A4CD32-4BBB-4002-A97D-825AD59A60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68" t="3255" r="4053" b="8854"/>
        <a:stretch/>
      </xdr:blipFill>
      <xdr:spPr>
        <a:xfrm>
          <a:off x="849406" y="21195926"/>
          <a:ext cx="740692" cy="551330"/>
        </a:xfrm>
        <a:prstGeom prst="rect">
          <a:avLst/>
        </a:prstGeom>
      </xdr:spPr>
    </xdr:pic>
    <xdr:clientData/>
  </xdr:twoCellAnchor>
  <xdr:twoCellAnchor>
    <xdr:from>
      <xdr:col>0</xdr:col>
      <xdr:colOff>858931</xdr:colOff>
      <xdr:row>1660</xdr:row>
      <xdr:rowOff>450476</xdr:rowOff>
    </xdr:from>
    <xdr:to>
      <xdr:col>0</xdr:col>
      <xdr:colOff>1599623</xdr:colOff>
      <xdr:row>1661</xdr:row>
      <xdr:rowOff>497541</xdr:rowOff>
    </xdr:to>
    <xdr:pic>
      <xdr:nvPicPr>
        <xdr:cNvPr id="1774" name="Рисунок 1773">
          <a:extLst>
            <a:ext uri="{FF2B5EF4-FFF2-40B4-BE49-F238E27FC236}">
              <a16:creationId xmlns:a16="http://schemas.microsoft.com/office/drawing/2014/main" xmlns="" id="{AF8FC43F-BB3C-49A9-9767-FCEC4C6E9F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68" t="3255" r="4053" b="8854"/>
        <a:stretch/>
      </xdr:blipFill>
      <xdr:spPr>
        <a:xfrm>
          <a:off x="858931" y="21719241"/>
          <a:ext cx="740692" cy="551329"/>
        </a:xfrm>
        <a:prstGeom prst="rect">
          <a:avLst/>
        </a:prstGeom>
      </xdr:spPr>
    </xdr:pic>
    <xdr:clientData/>
  </xdr:twoCellAnchor>
  <xdr:twoCellAnchor>
    <xdr:from>
      <xdr:col>0</xdr:col>
      <xdr:colOff>849406</xdr:colOff>
      <xdr:row>1661</xdr:row>
      <xdr:rowOff>450476</xdr:rowOff>
    </xdr:from>
    <xdr:to>
      <xdr:col>0</xdr:col>
      <xdr:colOff>1590098</xdr:colOff>
      <xdr:row>1662</xdr:row>
      <xdr:rowOff>497540</xdr:rowOff>
    </xdr:to>
    <xdr:pic>
      <xdr:nvPicPr>
        <xdr:cNvPr id="1775" name="Рисунок 1774">
          <a:extLst>
            <a:ext uri="{FF2B5EF4-FFF2-40B4-BE49-F238E27FC236}">
              <a16:creationId xmlns:a16="http://schemas.microsoft.com/office/drawing/2014/main" xmlns="" id="{64AB8C2E-7C8D-473A-AC82-7E1F832E3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68" t="3255" r="4053" b="8854"/>
        <a:stretch/>
      </xdr:blipFill>
      <xdr:spPr>
        <a:xfrm>
          <a:off x="849406" y="22223505"/>
          <a:ext cx="740692" cy="551329"/>
        </a:xfrm>
        <a:prstGeom prst="rect">
          <a:avLst/>
        </a:prstGeom>
      </xdr:spPr>
    </xdr:pic>
    <xdr:clientData/>
  </xdr:twoCellAnchor>
  <xdr:twoCellAnchor>
    <xdr:from>
      <xdr:col>0</xdr:col>
      <xdr:colOff>858931</xdr:colOff>
      <xdr:row>1662</xdr:row>
      <xdr:rowOff>450476</xdr:rowOff>
    </xdr:from>
    <xdr:to>
      <xdr:col>0</xdr:col>
      <xdr:colOff>1599623</xdr:colOff>
      <xdr:row>1663</xdr:row>
      <xdr:rowOff>497541</xdr:rowOff>
    </xdr:to>
    <xdr:pic>
      <xdr:nvPicPr>
        <xdr:cNvPr id="1776" name="Рисунок 1775">
          <a:extLst>
            <a:ext uri="{FF2B5EF4-FFF2-40B4-BE49-F238E27FC236}">
              <a16:creationId xmlns:a16="http://schemas.microsoft.com/office/drawing/2014/main" xmlns="" id="{825A59BA-A8F7-48E4-A36E-0A018C7F9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68" t="3255" r="4053" b="8854"/>
        <a:stretch/>
      </xdr:blipFill>
      <xdr:spPr>
        <a:xfrm>
          <a:off x="858931" y="22727770"/>
          <a:ext cx="740692" cy="551330"/>
        </a:xfrm>
        <a:prstGeom prst="rect">
          <a:avLst/>
        </a:prstGeom>
      </xdr:spPr>
    </xdr:pic>
    <xdr:clientData/>
  </xdr:twoCellAnchor>
  <xdr:twoCellAnchor>
    <xdr:from>
      <xdr:col>0</xdr:col>
      <xdr:colOff>877981</xdr:colOff>
      <xdr:row>1664</xdr:row>
      <xdr:rowOff>488015</xdr:rowOff>
    </xdr:from>
    <xdr:to>
      <xdr:col>0</xdr:col>
      <xdr:colOff>1503738</xdr:colOff>
      <xdr:row>1665</xdr:row>
      <xdr:rowOff>450475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xmlns="" id="{8FB5BE9C-22DB-40FB-A519-7D71AECF98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68" t="3255" r="4053" b="8854"/>
        <a:stretch/>
      </xdr:blipFill>
      <xdr:spPr>
        <a:xfrm>
          <a:off x="877981" y="23773839"/>
          <a:ext cx="625757" cy="466724"/>
        </a:xfrm>
        <a:prstGeom prst="rect">
          <a:avLst/>
        </a:prstGeom>
      </xdr:spPr>
    </xdr:pic>
    <xdr:clientData/>
  </xdr:twoCellAnchor>
  <xdr:twoCellAnchor>
    <xdr:from>
      <xdr:col>0</xdr:col>
      <xdr:colOff>605117</xdr:colOff>
      <xdr:row>1031</xdr:row>
      <xdr:rowOff>190500</xdr:rowOff>
    </xdr:from>
    <xdr:to>
      <xdr:col>0</xdr:col>
      <xdr:colOff>1703293</xdr:colOff>
      <xdr:row>1032</xdr:row>
      <xdr:rowOff>430080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xmlns="" id="{E30ED854-F301-4DD0-9372-AE8B48181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7" y="10365441"/>
          <a:ext cx="1098176" cy="743845"/>
        </a:xfrm>
        <a:prstGeom prst="rect">
          <a:avLst/>
        </a:prstGeom>
      </xdr:spPr>
    </xdr:pic>
    <xdr:clientData/>
  </xdr:twoCellAnchor>
  <xdr:twoCellAnchor>
    <xdr:from>
      <xdr:col>0</xdr:col>
      <xdr:colOff>549089</xdr:colOff>
      <xdr:row>1033</xdr:row>
      <xdr:rowOff>78442</xdr:rowOff>
    </xdr:from>
    <xdr:to>
      <xdr:col>0</xdr:col>
      <xdr:colOff>1800019</xdr:colOff>
      <xdr:row>1035</xdr:row>
      <xdr:rowOff>201707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xmlns="" id="{EAE8484F-E290-4095-8D54-FFB6897BB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9" y="11261913"/>
          <a:ext cx="1250930" cy="1131794"/>
        </a:xfrm>
        <a:prstGeom prst="rect">
          <a:avLst/>
        </a:prstGeom>
      </xdr:spPr>
    </xdr:pic>
    <xdr:clientData/>
  </xdr:twoCellAnchor>
  <xdr:twoCellAnchor>
    <xdr:from>
      <xdr:col>0</xdr:col>
      <xdr:colOff>593912</xdr:colOff>
      <xdr:row>1036</xdr:row>
      <xdr:rowOff>89647</xdr:rowOff>
    </xdr:from>
    <xdr:to>
      <xdr:col>0</xdr:col>
      <xdr:colOff>1714500</xdr:colOff>
      <xdr:row>1038</xdr:row>
      <xdr:rowOff>238010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xmlns="" id="{1D9784A8-CA64-446B-9A7D-F3DCD513F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2" y="12785912"/>
          <a:ext cx="1120588" cy="1156892"/>
        </a:xfrm>
        <a:prstGeom prst="rect">
          <a:avLst/>
        </a:prstGeom>
      </xdr:spPr>
    </xdr:pic>
    <xdr:clientData/>
  </xdr:twoCellAnchor>
  <xdr:twoCellAnchor>
    <xdr:from>
      <xdr:col>0</xdr:col>
      <xdr:colOff>392206</xdr:colOff>
      <xdr:row>1039</xdr:row>
      <xdr:rowOff>156882</xdr:rowOff>
    </xdr:from>
    <xdr:to>
      <xdr:col>0</xdr:col>
      <xdr:colOff>2005853</xdr:colOff>
      <xdr:row>1041</xdr:row>
      <xdr:rowOff>435072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xmlns="" id="{2E3EA583-5330-4234-BDD5-8E962E48C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06" y="14365941"/>
          <a:ext cx="1613647" cy="1286719"/>
        </a:xfrm>
        <a:prstGeom prst="rect">
          <a:avLst/>
        </a:prstGeom>
      </xdr:spPr>
    </xdr:pic>
    <xdr:clientData/>
  </xdr:twoCellAnchor>
  <xdr:twoCellAnchor>
    <xdr:from>
      <xdr:col>0</xdr:col>
      <xdr:colOff>459441</xdr:colOff>
      <xdr:row>1042</xdr:row>
      <xdr:rowOff>2</xdr:rowOff>
    </xdr:from>
    <xdr:to>
      <xdr:col>0</xdr:col>
      <xdr:colOff>1759324</xdr:colOff>
      <xdr:row>1045</xdr:row>
      <xdr:rowOff>2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xmlns="" id="{D36B4841-D4FC-4889-B786-14530BCEA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41" y="15721855"/>
          <a:ext cx="1299883" cy="1512844"/>
        </a:xfrm>
        <a:prstGeom prst="rect">
          <a:avLst/>
        </a:prstGeom>
      </xdr:spPr>
    </xdr:pic>
    <xdr:clientData/>
  </xdr:twoCellAnchor>
  <xdr:twoCellAnchor>
    <xdr:from>
      <xdr:col>0</xdr:col>
      <xdr:colOff>280147</xdr:colOff>
      <xdr:row>1045</xdr:row>
      <xdr:rowOff>33618</xdr:rowOff>
    </xdr:from>
    <xdr:to>
      <xdr:col>0</xdr:col>
      <xdr:colOff>2297206</xdr:colOff>
      <xdr:row>1046</xdr:row>
      <xdr:rowOff>452756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xmlns="" id="{BE2C29ED-6337-46AD-A151-AFC7FD0BD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147" y="17268265"/>
          <a:ext cx="2017059" cy="923403"/>
        </a:xfrm>
        <a:prstGeom prst="rect">
          <a:avLst/>
        </a:prstGeom>
      </xdr:spPr>
    </xdr:pic>
    <xdr:clientData/>
  </xdr:twoCellAnchor>
  <xdr:twoCellAnchor>
    <xdr:from>
      <xdr:col>0</xdr:col>
      <xdr:colOff>347383</xdr:colOff>
      <xdr:row>1046</xdr:row>
      <xdr:rowOff>470647</xdr:rowOff>
    </xdr:from>
    <xdr:to>
      <xdr:col>0</xdr:col>
      <xdr:colOff>2274795</xdr:colOff>
      <xdr:row>1049</xdr:row>
      <xdr:rowOff>111040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xmlns="" id="{CB7B292C-4255-46C9-84F3-30B2D087E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3" y="18209559"/>
          <a:ext cx="1927412" cy="1153187"/>
        </a:xfrm>
        <a:prstGeom prst="rect">
          <a:avLst/>
        </a:prstGeom>
      </xdr:spPr>
    </xdr:pic>
    <xdr:clientData/>
  </xdr:twoCellAnchor>
  <xdr:twoCellAnchor>
    <xdr:from>
      <xdr:col>0</xdr:col>
      <xdr:colOff>89648</xdr:colOff>
      <xdr:row>1051</xdr:row>
      <xdr:rowOff>437030</xdr:rowOff>
    </xdr:from>
    <xdr:to>
      <xdr:col>0</xdr:col>
      <xdr:colOff>2368134</xdr:colOff>
      <xdr:row>1053</xdr:row>
      <xdr:rowOff>470648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xmlns="" id="{2996E9FA-4492-4721-8E36-362B404FB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20697265"/>
          <a:ext cx="2278486" cy="1042148"/>
        </a:xfrm>
        <a:prstGeom prst="rect">
          <a:avLst/>
        </a:prstGeom>
      </xdr:spPr>
    </xdr:pic>
    <xdr:clientData/>
  </xdr:twoCellAnchor>
  <xdr:twoCellAnchor>
    <xdr:from>
      <xdr:col>0</xdr:col>
      <xdr:colOff>843513</xdr:colOff>
      <xdr:row>1029</xdr:row>
      <xdr:rowOff>481853</xdr:rowOff>
    </xdr:from>
    <xdr:to>
      <xdr:col>0</xdr:col>
      <xdr:colOff>1456767</xdr:colOff>
      <xdr:row>1031</xdr:row>
      <xdr:rowOff>33616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xmlns="" id="{78AB7D9F-DC3C-443D-8F8B-9717AB286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13" y="518541000"/>
          <a:ext cx="613254" cy="560292"/>
        </a:xfrm>
        <a:prstGeom prst="rect">
          <a:avLst/>
        </a:prstGeom>
      </xdr:spPr>
    </xdr:pic>
    <xdr:clientData/>
  </xdr:twoCellAnchor>
  <xdr:twoCellAnchor>
    <xdr:from>
      <xdr:col>0</xdr:col>
      <xdr:colOff>582707</xdr:colOff>
      <xdr:row>525</xdr:row>
      <xdr:rowOff>11206</xdr:rowOff>
    </xdr:from>
    <xdr:to>
      <xdr:col>0</xdr:col>
      <xdr:colOff>1565071</xdr:colOff>
      <xdr:row>525</xdr:row>
      <xdr:rowOff>448235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xmlns="" id="{6B1D3D12-980D-493A-9D23-A7E344D1D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7" y="17335500"/>
          <a:ext cx="982364" cy="437029"/>
        </a:xfrm>
        <a:prstGeom prst="rect">
          <a:avLst/>
        </a:prstGeom>
      </xdr:spPr>
    </xdr:pic>
    <xdr:clientData/>
  </xdr:twoCellAnchor>
  <xdr:twoCellAnchor>
    <xdr:from>
      <xdr:col>0</xdr:col>
      <xdr:colOff>605119</xdr:colOff>
      <xdr:row>522</xdr:row>
      <xdr:rowOff>470647</xdr:rowOff>
    </xdr:from>
    <xdr:to>
      <xdr:col>0</xdr:col>
      <xdr:colOff>1411943</xdr:colOff>
      <xdr:row>524</xdr:row>
      <xdr:rowOff>15967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xmlns="" id="{999FC98C-E431-449D-B2FC-0102899EB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9" y="16192500"/>
          <a:ext cx="806824" cy="553849"/>
        </a:xfrm>
        <a:prstGeom prst="rect">
          <a:avLst/>
        </a:prstGeom>
      </xdr:spPr>
    </xdr:pic>
    <xdr:clientData/>
  </xdr:twoCellAnchor>
  <xdr:twoCellAnchor>
    <xdr:from>
      <xdr:col>0</xdr:col>
      <xdr:colOff>750795</xdr:colOff>
      <xdr:row>523</xdr:row>
      <xdr:rowOff>497155</xdr:rowOff>
    </xdr:from>
    <xdr:to>
      <xdr:col>0</xdr:col>
      <xdr:colOff>1460359</xdr:colOff>
      <xdr:row>524</xdr:row>
      <xdr:rowOff>571499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xmlns="" id="{36A8B1FB-BBA3-484A-9EA2-572F0C48C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795" y="16723273"/>
          <a:ext cx="709564" cy="578608"/>
        </a:xfrm>
        <a:prstGeom prst="rect">
          <a:avLst/>
        </a:prstGeom>
      </xdr:spPr>
    </xdr:pic>
    <xdr:clientData/>
  </xdr:twoCellAnchor>
  <xdr:twoCellAnchor>
    <xdr:from>
      <xdr:col>0</xdr:col>
      <xdr:colOff>638737</xdr:colOff>
      <xdr:row>518</xdr:row>
      <xdr:rowOff>437030</xdr:rowOff>
    </xdr:from>
    <xdr:to>
      <xdr:col>0</xdr:col>
      <xdr:colOff>1489325</xdr:colOff>
      <xdr:row>519</xdr:row>
      <xdr:rowOff>437029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xmlns="" id="{8C96CFDA-F70A-4793-ADF1-7E7E839BA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7" y="14141824"/>
          <a:ext cx="850588" cy="504264"/>
        </a:xfrm>
        <a:prstGeom prst="rect">
          <a:avLst/>
        </a:prstGeom>
      </xdr:spPr>
    </xdr:pic>
    <xdr:clientData/>
  </xdr:twoCellAnchor>
  <xdr:twoCellAnchor>
    <xdr:from>
      <xdr:col>0</xdr:col>
      <xdr:colOff>750795</xdr:colOff>
      <xdr:row>517</xdr:row>
      <xdr:rowOff>492895</xdr:rowOff>
    </xdr:from>
    <xdr:to>
      <xdr:col>0</xdr:col>
      <xdr:colOff>1490383</xdr:colOff>
      <xdr:row>518</xdr:row>
      <xdr:rowOff>456950</xdr:rowOff>
    </xdr:to>
    <xdr:pic>
      <xdr:nvPicPr>
        <xdr:cNvPr id="1780" name="Рисунок 1779">
          <a:extLst>
            <a:ext uri="{FF2B5EF4-FFF2-40B4-BE49-F238E27FC236}">
              <a16:creationId xmlns:a16="http://schemas.microsoft.com/office/drawing/2014/main" xmlns="" id="{F78BC2AD-F99E-4A1C-94A9-048440B22E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63" r="8041" b="11748"/>
        <a:stretch/>
      </xdr:blipFill>
      <xdr:spPr>
        <a:xfrm>
          <a:off x="750795" y="13693424"/>
          <a:ext cx="739588" cy="468320"/>
        </a:xfrm>
        <a:prstGeom prst="rect">
          <a:avLst/>
        </a:prstGeom>
      </xdr:spPr>
    </xdr:pic>
    <xdr:clientData/>
  </xdr:twoCellAnchor>
  <xdr:twoCellAnchor>
    <xdr:from>
      <xdr:col>0</xdr:col>
      <xdr:colOff>907676</xdr:colOff>
      <xdr:row>510</xdr:row>
      <xdr:rowOff>22412</xdr:rowOff>
    </xdr:from>
    <xdr:to>
      <xdr:col>0</xdr:col>
      <xdr:colOff>1476457</xdr:colOff>
      <xdr:row>510</xdr:row>
      <xdr:rowOff>480130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78E26579-1318-4A2E-871C-A59F3B9ED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676" y="10197353"/>
          <a:ext cx="568781" cy="457718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510</xdr:row>
      <xdr:rowOff>493059</xdr:rowOff>
    </xdr:from>
    <xdr:to>
      <xdr:col>0</xdr:col>
      <xdr:colOff>1434353</xdr:colOff>
      <xdr:row>512</xdr:row>
      <xdr:rowOff>994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AB9BA7D8-C574-49FB-B3B4-E9FCEE3A1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0163735"/>
          <a:ext cx="672353" cy="516465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513</xdr:row>
      <xdr:rowOff>22412</xdr:rowOff>
    </xdr:from>
    <xdr:to>
      <xdr:col>0</xdr:col>
      <xdr:colOff>1460379</xdr:colOff>
      <xdr:row>513</xdr:row>
      <xdr:rowOff>493059</xdr:rowOff>
    </xdr:to>
    <xdr:pic>
      <xdr:nvPicPr>
        <xdr:cNvPr id="773" name="Рисунок 772">
          <a:extLst>
            <a:ext uri="{FF2B5EF4-FFF2-40B4-BE49-F238E27FC236}">
              <a16:creationId xmlns:a16="http://schemas.microsoft.com/office/drawing/2014/main" xmlns="" id="{A8916B88-03DC-42DF-A3BF-9811CEDBF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1205883"/>
          <a:ext cx="698379" cy="470647"/>
        </a:xfrm>
        <a:prstGeom prst="rect">
          <a:avLst/>
        </a:prstGeom>
      </xdr:spPr>
    </xdr:pic>
    <xdr:clientData/>
  </xdr:twoCellAnchor>
  <xdr:twoCellAnchor>
    <xdr:from>
      <xdr:col>0</xdr:col>
      <xdr:colOff>806824</xdr:colOff>
      <xdr:row>512</xdr:row>
      <xdr:rowOff>11206</xdr:rowOff>
    </xdr:from>
    <xdr:to>
      <xdr:col>0</xdr:col>
      <xdr:colOff>1456765</xdr:colOff>
      <xdr:row>513</xdr:row>
      <xdr:rowOff>27164</xdr:rowOff>
    </xdr:to>
    <xdr:pic>
      <xdr:nvPicPr>
        <xdr:cNvPr id="775" name="Рисунок 774">
          <a:extLst>
            <a:ext uri="{FF2B5EF4-FFF2-40B4-BE49-F238E27FC236}">
              <a16:creationId xmlns:a16="http://schemas.microsoft.com/office/drawing/2014/main" xmlns="" id="{6A8811E8-2DA3-4675-ABAC-CDBEF8363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824" y="10690412"/>
          <a:ext cx="649941" cy="520223"/>
        </a:xfrm>
        <a:prstGeom prst="rect">
          <a:avLst/>
        </a:prstGeom>
      </xdr:spPr>
    </xdr:pic>
    <xdr:clientData/>
  </xdr:twoCellAnchor>
  <xdr:twoCellAnchor>
    <xdr:from>
      <xdr:col>0</xdr:col>
      <xdr:colOff>638737</xdr:colOff>
      <xdr:row>514</xdr:row>
      <xdr:rowOff>0</xdr:rowOff>
    </xdr:from>
    <xdr:to>
      <xdr:col>0</xdr:col>
      <xdr:colOff>1602443</xdr:colOff>
      <xdr:row>515</xdr:row>
      <xdr:rowOff>22146</xdr:rowOff>
    </xdr:to>
    <xdr:pic>
      <xdr:nvPicPr>
        <xdr:cNvPr id="777" name="Рисунок 776">
          <a:extLst>
            <a:ext uri="{FF2B5EF4-FFF2-40B4-BE49-F238E27FC236}">
              <a16:creationId xmlns:a16="http://schemas.microsoft.com/office/drawing/2014/main" xmlns="" id="{7710B7F5-0707-4761-A150-EF1BFCF0C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737" y="11687735"/>
          <a:ext cx="963706" cy="526411"/>
        </a:xfrm>
        <a:prstGeom prst="rect">
          <a:avLst/>
        </a:prstGeom>
      </xdr:spPr>
    </xdr:pic>
    <xdr:clientData/>
  </xdr:twoCellAnchor>
  <xdr:twoCellAnchor>
    <xdr:from>
      <xdr:col>0</xdr:col>
      <xdr:colOff>672353</xdr:colOff>
      <xdr:row>515</xdr:row>
      <xdr:rowOff>11207</xdr:rowOff>
    </xdr:from>
    <xdr:to>
      <xdr:col>0</xdr:col>
      <xdr:colOff>1501588</xdr:colOff>
      <xdr:row>516</xdr:row>
      <xdr:rowOff>55158</xdr:rowOff>
    </xdr:to>
    <xdr:pic>
      <xdr:nvPicPr>
        <xdr:cNvPr id="779" name="Рисунок 778">
          <a:extLst>
            <a:ext uri="{FF2B5EF4-FFF2-40B4-BE49-F238E27FC236}">
              <a16:creationId xmlns:a16="http://schemas.microsoft.com/office/drawing/2014/main" xmlns="" id="{61A714C7-3DC6-4C41-8270-523C92164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3" y="12203207"/>
          <a:ext cx="829235" cy="548216"/>
        </a:xfrm>
        <a:prstGeom prst="rect">
          <a:avLst/>
        </a:prstGeom>
      </xdr:spPr>
    </xdr:pic>
    <xdr:clientData/>
  </xdr:twoCellAnchor>
  <xdr:twoCellAnchor>
    <xdr:from>
      <xdr:col>0</xdr:col>
      <xdr:colOff>593913</xdr:colOff>
      <xdr:row>516</xdr:row>
      <xdr:rowOff>22412</xdr:rowOff>
    </xdr:from>
    <xdr:to>
      <xdr:col>0</xdr:col>
      <xdr:colOff>1568825</xdr:colOff>
      <xdr:row>516</xdr:row>
      <xdr:rowOff>493727</xdr:rowOff>
    </xdr:to>
    <xdr:pic>
      <xdr:nvPicPr>
        <xdr:cNvPr id="804" name="Рисунок 803">
          <a:extLst>
            <a:ext uri="{FF2B5EF4-FFF2-40B4-BE49-F238E27FC236}">
              <a16:creationId xmlns:a16="http://schemas.microsoft.com/office/drawing/2014/main" xmlns="" id="{EA8FAA62-7005-4444-96DB-1D06CE4E0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913" y="12718677"/>
          <a:ext cx="974912" cy="471315"/>
        </a:xfrm>
        <a:prstGeom prst="rect">
          <a:avLst/>
        </a:prstGeom>
      </xdr:spPr>
    </xdr:pic>
    <xdr:clientData/>
  </xdr:twoCellAnchor>
  <xdr:twoCellAnchor>
    <xdr:from>
      <xdr:col>0</xdr:col>
      <xdr:colOff>627531</xdr:colOff>
      <xdr:row>517</xdr:row>
      <xdr:rowOff>44825</xdr:rowOff>
    </xdr:from>
    <xdr:to>
      <xdr:col>0</xdr:col>
      <xdr:colOff>1580031</xdr:colOff>
      <xdr:row>517</xdr:row>
      <xdr:rowOff>503990</xdr:rowOff>
    </xdr:to>
    <xdr:pic>
      <xdr:nvPicPr>
        <xdr:cNvPr id="842" name="Рисунок 841">
          <a:extLst>
            <a:ext uri="{FF2B5EF4-FFF2-40B4-BE49-F238E27FC236}">
              <a16:creationId xmlns:a16="http://schemas.microsoft.com/office/drawing/2014/main" xmlns="" id="{66B75954-E418-42CB-9319-6C8C233D2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1" y="13245354"/>
          <a:ext cx="952500" cy="459165"/>
        </a:xfrm>
        <a:prstGeom prst="rect">
          <a:avLst/>
        </a:prstGeom>
      </xdr:spPr>
    </xdr:pic>
    <xdr:clientData/>
  </xdr:twoCellAnchor>
  <xdr:twoCellAnchor>
    <xdr:from>
      <xdr:col>0</xdr:col>
      <xdr:colOff>728382</xdr:colOff>
      <xdr:row>519</xdr:row>
      <xdr:rowOff>496480</xdr:rowOff>
    </xdr:from>
    <xdr:to>
      <xdr:col>0</xdr:col>
      <xdr:colOff>1378323</xdr:colOff>
      <xdr:row>520</xdr:row>
      <xdr:rowOff>496480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xmlns="" id="{F18506E7-6BFF-4996-974A-F73F19DA7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2" y="14705539"/>
          <a:ext cx="649941" cy="513038"/>
        </a:xfrm>
        <a:prstGeom prst="rect">
          <a:avLst/>
        </a:prstGeom>
      </xdr:spPr>
    </xdr:pic>
    <xdr:clientData/>
  </xdr:twoCellAnchor>
  <xdr:twoCellAnchor>
    <xdr:from>
      <xdr:col>0</xdr:col>
      <xdr:colOff>627530</xdr:colOff>
      <xdr:row>521</xdr:row>
      <xdr:rowOff>1</xdr:rowOff>
    </xdr:from>
    <xdr:to>
      <xdr:col>0</xdr:col>
      <xdr:colOff>1277471</xdr:colOff>
      <xdr:row>522</xdr:row>
      <xdr:rowOff>15434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xmlns="" id="{CE371C81-8A94-4442-A44C-579E4091F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15217589"/>
          <a:ext cx="649941" cy="519698"/>
        </a:xfrm>
        <a:prstGeom prst="rect">
          <a:avLst/>
        </a:prstGeom>
      </xdr:spPr>
    </xdr:pic>
    <xdr:clientData/>
  </xdr:twoCellAnchor>
  <xdr:twoCellAnchor>
    <xdr:from>
      <xdr:col>0</xdr:col>
      <xdr:colOff>560294</xdr:colOff>
      <xdr:row>522</xdr:row>
      <xdr:rowOff>63896</xdr:rowOff>
    </xdr:from>
    <xdr:to>
      <xdr:col>0</xdr:col>
      <xdr:colOff>1436450</xdr:colOff>
      <xdr:row>522</xdr:row>
      <xdr:rowOff>459442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xmlns="" id="{0D6A7AF1-552B-4889-9968-DA25F7A68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4" y="15785749"/>
          <a:ext cx="876156" cy="395546"/>
        </a:xfrm>
        <a:prstGeom prst="rect">
          <a:avLst/>
        </a:prstGeom>
      </xdr:spPr>
    </xdr:pic>
    <xdr:clientData/>
  </xdr:twoCellAnchor>
  <xdr:twoCellAnchor>
    <xdr:from>
      <xdr:col>0</xdr:col>
      <xdr:colOff>537883</xdr:colOff>
      <xdr:row>526</xdr:row>
      <xdr:rowOff>15223</xdr:rowOff>
    </xdr:from>
    <xdr:to>
      <xdr:col>0</xdr:col>
      <xdr:colOff>1535207</xdr:colOff>
      <xdr:row>526</xdr:row>
      <xdr:rowOff>476040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xmlns="" id="{E57D6AE4-8F36-4817-81BC-0F05D17F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3" y="17843782"/>
          <a:ext cx="997324" cy="460817"/>
        </a:xfrm>
        <a:prstGeom prst="rect">
          <a:avLst/>
        </a:prstGeom>
      </xdr:spPr>
    </xdr:pic>
    <xdr:clientData/>
  </xdr:twoCellAnchor>
  <xdr:twoCellAnchor>
    <xdr:from>
      <xdr:col>0</xdr:col>
      <xdr:colOff>448237</xdr:colOff>
      <xdr:row>527</xdr:row>
      <xdr:rowOff>7027</xdr:rowOff>
    </xdr:from>
    <xdr:to>
      <xdr:col>0</xdr:col>
      <xdr:colOff>1557618</xdr:colOff>
      <xdr:row>527</xdr:row>
      <xdr:rowOff>481851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xmlns="" id="{AD1C5F6F-E00A-4507-A025-17575D13A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7" y="18339851"/>
          <a:ext cx="1109381" cy="474824"/>
        </a:xfrm>
        <a:prstGeom prst="rect">
          <a:avLst/>
        </a:prstGeom>
      </xdr:spPr>
    </xdr:pic>
    <xdr:clientData/>
  </xdr:twoCellAnchor>
  <xdr:twoCellAnchor>
    <xdr:from>
      <xdr:col>0</xdr:col>
      <xdr:colOff>537882</xdr:colOff>
      <xdr:row>529</xdr:row>
      <xdr:rowOff>457266</xdr:rowOff>
    </xdr:from>
    <xdr:to>
      <xdr:col>0</xdr:col>
      <xdr:colOff>1512713</xdr:colOff>
      <xdr:row>530</xdr:row>
      <xdr:rowOff>493059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xmlns="" id="{C880197E-E282-460E-AA6D-635355F78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2" y="19798619"/>
          <a:ext cx="974831" cy="540057"/>
        </a:xfrm>
        <a:prstGeom prst="rect">
          <a:avLst/>
        </a:prstGeom>
      </xdr:spPr>
    </xdr:pic>
    <xdr:clientData/>
  </xdr:twoCellAnchor>
  <xdr:twoCellAnchor>
    <xdr:from>
      <xdr:col>0</xdr:col>
      <xdr:colOff>605119</xdr:colOff>
      <xdr:row>531</xdr:row>
      <xdr:rowOff>42065</xdr:rowOff>
    </xdr:from>
    <xdr:to>
      <xdr:col>0</xdr:col>
      <xdr:colOff>1568825</xdr:colOff>
      <xdr:row>531</xdr:row>
      <xdr:rowOff>474009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xmlns="" id="{8FDE9A41-88F9-4D65-AAF4-10C02D5EF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9" y="20896212"/>
          <a:ext cx="963706" cy="431944"/>
        </a:xfrm>
        <a:prstGeom prst="rect">
          <a:avLst/>
        </a:prstGeom>
      </xdr:spPr>
    </xdr:pic>
    <xdr:clientData/>
  </xdr:twoCellAnchor>
  <xdr:twoCellAnchor>
    <xdr:from>
      <xdr:col>0</xdr:col>
      <xdr:colOff>582706</xdr:colOff>
      <xdr:row>534</xdr:row>
      <xdr:rowOff>56030</xdr:rowOff>
    </xdr:from>
    <xdr:to>
      <xdr:col>0</xdr:col>
      <xdr:colOff>1663367</xdr:colOff>
      <xdr:row>535</xdr:row>
      <xdr:rowOff>17369</xdr:rowOff>
    </xdr:to>
    <xdr:pic>
      <xdr:nvPicPr>
        <xdr:cNvPr id="294" name="Рисунок 293">
          <a:extLst>
            <a:ext uri="{FF2B5EF4-FFF2-40B4-BE49-F238E27FC236}">
              <a16:creationId xmlns:a16="http://schemas.microsoft.com/office/drawing/2014/main" xmlns="" id="{7BDFF51D-6AE9-4298-B892-EC7F75F6E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21918706"/>
          <a:ext cx="1080661" cy="465604"/>
        </a:xfrm>
        <a:prstGeom prst="rect">
          <a:avLst/>
        </a:prstGeom>
      </xdr:spPr>
    </xdr:pic>
    <xdr:clientData/>
  </xdr:twoCellAnchor>
  <xdr:twoCellAnchor>
    <xdr:from>
      <xdr:col>0</xdr:col>
      <xdr:colOff>582706</xdr:colOff>
      <xdr:row>535</xdr:row>
      <xdr:rowOff>33619</xdr:rowOff>
    </xdr:from>
    <xdr:to>
      <xdr:col>0</xdr:col>
      <xdr:colOff>1612719</xdr:colOff>
      <xdr:row>535</xdr:row>
      <xdr:rowOff>470649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04F6D1D3-1084-4E9B-9279-2B99A6B7B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22400560"/>
          <a:ext cx="1030013" cy="437030"/>
        </a:xfrm>
        <a:prstGeom prst="rect">
          <a:avLst/>
        </a:prstGeom>
      </xdr:spPr>
    </xdr:pic>
    <xdr:clientData/>
  </xdr:twoCellAnchor>
  <xdr:twoCellAnchor>
    <xdr:from>
      <xdr:col>0</xdr:col>
      <xdr:colOff>627531</xdr:colOff>
      <xdr:row>540</xdr:row>
      <xdr:rowOff>4808</xdr:rowOff>
    </xdr:from>
    <xdr:to>
      <xdr:col>0</xdr:col>
      <xdr:colOff>1602441</xdr:colOff>
      <xdr:row>541</xdr:row>
      <xdr:rowOff>4807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729A30A0-2380-4EA6-AD9E-0459A5BF7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1" y="24893073"/>
          <a:ext cx="974910" cy="514201"/>
        </a:xfrm>
        <a:prstGeom prst="rect">
          <a:avLst/>
        </a:prstGeom>
      </xdr:spPr>
    </xdr:pic>
    <xdr:clientData/>
  </xdr:twoCellAnchor>
  <xdr:twoCellAnchor>
    <xdr:from>
      <xdr:col>0</xdr:col>
      <xdr:colOff>712697</xdr:colOff>
      <xdr:row>538</xdr:row>
      <xdr:rowOff>477370</xdr:rowOff>
    </xdr:from>
    <xdr:to>
      <xdr:col>0</xdr:col>
      <xdr:colOff>1429871</xdr:colOff>
      <xdr:row>540</xdr:row>
      <xdr:rowOff>36367</xdr:rowOff>
    </xdr:to>
    <xdr:pic>
      <xdr:nvPicPr>
        <xdr:cNvPr id="1628" name="Рисунок 1627">
          <a:extLst>
            <a:ext uri="{FF2B5EF4-FFF2-40B4-BE49-F238E27FC236}">
              <a16:creationId xmlns:a16="http://schemas.microsoft.com/office/drawing/2014/main" xmlns="" id="{68483C88-59F5-4079-81A2-94B73F43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697" y="24357105"/>
          <a:ext cx="717174" cy="567527"/>
        </a:xfrm>
        <a:prstGeom prst="rect">
          <a:avLst/>
        </a:prstGeom>
      </xdr:spPr>
    </xdr:pic>
    <xdr:clientData/>
  </xdr:twoCellAnchor>
  <xdr:twoCellAnchor>
    <xdr:from>
      <xdr:col>0</xdr:col>
      <xdr:colOff>760008</xdr:colOff>
      <xdr:row>538</xdr:row>
      <xdr:rowOff>17306</xdr:rowOff>
    </xdr:from>
    <xdr:to>
      <xdr:col>0</xdr:col>
      <xdr:colOff>1452283</xdr:colOff>
      <xdr:row>538</xdr:row>
      <xdr:rowOff>473012</xdr:rowOff>
    </xdr:to>
    <xdr:pic>
      <xdr:nvPicPr>
        <xdr:cNvPr id="1631" name="Рисунок 1630">
          <a:extLst>
            <a:ext uri="{FF2B5EF4-FFF2-40B4-BE49-F238E27FC236}">
              <a16:creationId xmlns:a16="http://schemas.microsoft.com/office/drawing/2014/main" xmlns="" id="{1332F75C-E885-4CEA-8363-555B13D326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07" r="12380" b="11748"/>
        <a:stretch/>
      </xdr:blipFill>
      <xdr:spPr>
        <a:xfrm>
          <a:off x="760008" y="23897041"/>
          <a:ext cx="692275" cy="455706"/>
        </a:xfrm>
        <a:prstGeom prst="rect">
          <a:avLst/>
        </a:prstGeom>
      </xdr:spPr>
    </xdr:pic>
    <xdr:clientData/>
  </xdr:twoCellAnchor>
  <xdr:twoCellAnchor>
    <xdr:from>
      <xdr:col>0</xdr:col>
      <xdr:colOff>679079</xdr:colOff>
      <xdr:row>536</xdr:row>
      <xdr:rowOff>499782</xdr:rowOff>
    </xdr:from>
    <xdr:to>
      <xdr:col>0</xdr:col>
      <xdr:colOff>1415434</xdr:colOff>
      <xdr:row>538</xdr:row>
      <xdr:rowOff>73959</xdr:rowOff>
    </xdr:to>
    <xdr:pic>
      <xdr:nvPicPr>
        <xdr:cNvPr id="1778" name="Рисунок 1777">
          <a:extLst>
            <a:ext uri="{FF2B5EF4-FFF2-40B4-BE49-F238E27FC236}">
              <a16:creationId xmlns:a16="http://schemas.microsoft.com/office/drawing/2014/main" xmlns="" id="{1B10AFE4-EDBA-4FD6-A951-F62D36A05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079" y="23370988"/>
          <a:ext cx="736355" cy="582706"/>
        </a:xfrm>
        <a:prstGeom prst="rect">
          <a:avLst/>
        </a:prstGeom>
      </xdr:spPr>
    </xdr:pic>
    <xdr:clientData/>
  </xdr:twoCellAnchor>
  <xdr:twoCellAnchor>
    <xdr:from>
      <xdr:col>0</xdr:col>
      <xdr:colOff>634255</xdr:colOff>
      <xdr:row>533</xdr:row>
      <xdr:rowOff>11532</xdr:rowOff>
    </xdr:from>
    <xdr:to>
      <xdr:col>0</xdr:col>
      <xdr:colOff>1609165</xdr:colOff>
      <xdr:row>534</xdr:row>
      <xdr:rowOff>11531</xdr:rowOff>
    </xdr:to>
    <xdr:pic>
      <xdr:nvPicPr>
        <xdr:cNvPr id="1779" name="Рисунок 1778">
          <a:extLst>
            <a:ext uri="{FF2B5EF4-FFF2-40B4-BE49-F238E27FC236}">
              <a16:creationId xmlns:a16="http://schemas.microsoft.com/office/drawing/2014/main" xmlns="" id="{FA42C39C-4BE1-45E0-A34D-435C82972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255" y="21369944"/>
          <a:ext cx="974910" cy="514201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424</xdr:row>
      <xdr:rowOff>33618</xdr:rowOff>
    </xdr:from>
    <xdr:to>
      <xdr:col>0</xdr:col>
      <xdr:colOff>537881</xdr:colOff>
      <xdr:row>461</xdr:row>
      <xdr:rowOff>22413</xdr:rowOff>
    </xdr:to>
    <xdr:pic>
      <xdr:nvPicPr>
        <xdr:cNvPr id="772" name="Рисунок 771">
          <a:extLst>
            <a:ext uri="{FF2B5EF4-FFF2-40B4-BE49-F238E27FC236}">
              <a16:creationId xmlns:a16="http://schemas.microsoft.com/office/drawing/2014/main" xmlns="" id="{F3B2C701-0D34-470D-BCBE-5DC181E4F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" y="7687236"/>
          <a:ext cx="493058" cy="493059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1030</xdr:row>
      <xdr:rowOff>11206</xdr:rowOff>
    </xdr:from>
    <xdr:to>
      <xdr:col>0</xdr:col>
      <xdr:colOff>560294</xdr:colOff>
      <xdr:row>1031</xdr:row>
      <xdr:rowOff>0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xmlns="" id="{5FA2686D-A84C-4975-9BED-8B435D5EC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6" y="27835412"/>
          <a:ext cx="493058" cy="493059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510</xdr:row>
      <xdr:rowOff>134472</xdr:rowOff>
    </xdr:from>
    <xdr:to>
      <xdr:col>0</xdr:col>
      <xdr:colOff>358588</xdr:colOff>
      <xdr:row>510</xdr:row>
      <xdr:rowOff>403414</xdr:rowOff>
    </xdr:to>
    <xdr:pic>
      <xdr:nvPicPr>
        <xdr:cNvPr id="1782" name="Рисунок 1781">
          <a:extLst>
            <a:ext uri="{FF2B5EF4-FFF2-40B4-BE49-F238E27FC236}">
              <a16:creationId xmlns:a16="http://schemas.microsoft.com/office/drawing/2014/main" xmlns="" id="{6884E68C-1A16-4366-B453-FF3348A34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9805148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91888</xdr:colOff>
      <xdr:row>512</xdr:row>
      <xdr:rowOff>114300</xdr:rowOff>
    </xdr:from>
    <xdr:to>
      <xdr:col>0</xdr:col>
      <xdr:colOff>358588</xdr:colOff>
      <xdr:row>512</xdr:row>
      <xdr:rowOff>381001</xdr:rowOff>
    </xdr:to>
    <xdr:pic>
      <xdr:nvPicPr>
        <xdr:cNvPr id="1784" name="Рисунок 1783">
          <a:extLst>
            <a:ext uri="{FF2B5EF4-FFF2-40B4-BE49-F238E27FC236}">
              <a16:creationId xmlns:a16="http://schemas.microsoft.com/office/drawing/2014/main" xmlns="" id="{9F668EC8-1F55-445D-B267-0E65DDE37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88" y="10793506"/>
          <a:ext cx="266700" cy="266701"/>
        </a:xfrm>
        <a:prstGeom prst="rect">
          <a:avLst/>
        </a:prstGeom>
      </xdr:spPr>
    </xdr:pic>
    <xdr:clientData/>
  </xdr:twoCellAnchor>
  <xdr:twoCellAnchor>
    <xdr:from>
      <xdr:col>0</xdr:col>
      <xdr:colOff>98611</xdr:colOff>
      <xdr:row>513</xdr:row>
      <xdr:rowOff>154642</xdr:rowOff>
    </xdr:from>
    <xdr:to>
      <xdr:col>0</xdr:col>
      <xdr:colOff>369794</xdr:colOff>
      <xdr:row>513</xdr:row>
      <xdr:rowOff>425826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xmlns="" id="{B005E096-3E68-4873-8213-74F6B30F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" y="11338113"/>
          <a:ext cx="271183" cy="271184"/>
        </a:xfrm>
        <a:prstGeom prst="rect">
          <a:avLst/>
        </a:prstGeom>
      </xdr:spPr>
    </xdr:pic>
    <xdr:clientData/>
  </xdr:twoCellAnchor>
  <xdr:twoCellAnchor>
    <xdr:from>
      <xdr:col>0</xdr:col>
      <xdr:colOff>107577</xdr:colOff>
      <xdr:row>514</xdr:row>
      <xdr:rowOff>118784</xdr:rowOff>
    </xdr:from>
    <xdr:to>
      <xdr:col>0</xdr:col>
      <xdr:colOff>376518</xdr:colOff>
      <xdr:row>514</xdr:row>
      <xdr:rowOff>387726</xdr:rowOff>
    </xdr:to>
    <xdr:pic>
      <xdr:nvPicPr>
        <xdr:cNvPr id="1786" name="Рисунок 1785">
          <a:extLst>
            <a:ext uri="{FF2B5EF4-FFF2-40B4-BE49-F238E27FC236}">
              <a16:creationId xmlns:a16="http://schemas.microsoft.com/office/drawing/2014/main" xmlns="" id="{325B0F6E-1C28-423C-A671-A776FAE52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77" y="11806519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103095</xdr:colOff>
      <xdr:row>515</xdr:row>
      <xdr:rowOff>136713</xdr:rowOff>
    </xdr:from>
    <xdr:to>
      <xdr:col>0</xdr:col>
      <xdr:colOff>372036</xdr:colOff>
      <xdr:row>515</xdr:row>
      <xdr:rowOff>405655</xdr:rowOff>
    </xdr:to>
    <xdr:pic>
      <xdr:nvPicPr>
        <xdr:cNvPr id="1787" name="Рисунок 1786">
          <a:extLst>
            <a:ext uri="{FF2B5EF4-FFF2-40B4-BE49-F238E27FC236}">
              <a16:creationId xmlns:a16="http://schemas.microsoft.com/office/drawing/2014/main" xmlns="" id="{0B973749-49EB-44B2-876D-592BD8BD9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95" y="12328713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87407</xdr:colOff>
      <xdr:row>516</xdr:row>
      <xdr:rowOff>143436</xdr:rowOff>
    </xdr:from>
    <xdr:to>
      <xdr:col>0</xdr:col>
      <xdr:colOff>356348</xdr:colOff>
      <xdr:row>516</xdr:row>
      <xdr:rowOff>412378</xdr:rowOff>
    </xdr:to>
    <xdr:pic>
      <xdr:nvPicPr>
        <xdr:cNvPr id="1788" name="Рисунок 1787">
          <a:extLst>
            <a:ext uri="{FF2B5EF4-FFF2-40B4-BE49-F238E27FC236}">
              <a16:creationId xmlns:a16="http://schemas.microsoft.com/office/drawing/2014/main" xmlns="" id="{04946298-1AC6-480E-9A5B-7BB664BDA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7" y="12839701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82925</xdr:colOff>
      <xdr:row>517</xdr:row>
      <xdr:rowOff>150160</xdr:rowOff>
    </xdr:from>
    <xdr:to>
      <xdr:col>0</xdr:col>
      <xdr:colOff>351866</xdr:colOff>
      <xdr:row>517</xdr:row>
      <xdr:rowOff>419102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xmlns="" id="{2E59DA7A-3CBE-408F-AF6B-770774942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5" y="13350689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85167</xdr:colOff>
      <xdr:row>519</xdr:row>
      <xdr:rowOff>118782</xdr:rowOff>
    </xdr:from>
    <xdr:to>
      <xdr:col>0</xdr:col>
      <xdr:colOff>354108</xdr:colOff>
      <xdr:row>519</xdr:row>
      <xdr:rowOff>387724</xdr:rowOff>
    </xdr:to>
    <xdr:pic>
      <xdr:nvPicPr>
        <xdr:cNvPr id="1791" name="Рисунок 1790">
          <a:extLst>
            <a:ext uri="{FF2B5EF4-FFF2-40B4-BE49-F238E27FC236}">
              <a16:creationId xmlns:a16="http://schemas.microsoft.com/office/drawing/2014/main" xmlns="" id="{F178B0D8-8123-4A84-A575-9B270D9D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67" y="14327841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91891</xdr:colOff>
      <xdr:row>521</xdr:row>
      <xdr:rowOff>114301</xdr:rowOff>
    </xdr:from>
    <xdr:to>
      <xdr:col>0</xdr:col>
      <xdr:colOff>360832</xdr:colOff>
      <xdr:row>521</xdr:row>
      <xdr:rowOff>383243</xdr:rowOff>
    </xdr:to>
    <xdr:pic>
      <xdr:nvPicPr>
        <xdr:cNvPr id="1792" name="Рисунок 1791">
          <a:extLst>
            <a:ext uri="{FF2B5EF4-FFF2-40B4-BE49-F238E27FC236}">
              <a16:creationId xmlns:a16="http://schemas.microsoft.com/office/drawing/2014/main" xmlns="" id="{B62325CA-927B-4CB3-9339-D88CB69EC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91" y="15331889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87409</xdr:colOff>
      <xdr:row>522</xdr:row>
      <xdr:rowOff>109818</xdr:rowOff>
    </xdr:from>
    <xdr:to>
      <xdr:col>0</xdr:col>
      <xdr:colOff>356350</xdr:colOff>
      <xdr:row>522</xdr:row>
      <xdr:rowOff>378760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xmlns="" id="{E7CBF6F6-B29F-428D-800F-660B1680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9" y="15831671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116545</xdr:colOff>
      <xdr:row>526</xdr:row>
      <xdr:rowOff>138953</xdr:rowOff>
    </xdr:from>
    <xdr:to>
      <xdr:col>0</xdr:col>
      <xdr:colOff>385486</xdr:colOff>
      <xdr:row>526</xdr:row>
      <xdr:rowOff>407895</xdr:rowOff>
    </xdr:to>
    <xdr:pic>
      <xdr:nvPicPr>
        <xdr:cNvPr id="1795" name="Рисунок 1794">
          <a:extLst>
            <a:ext uri="{FF2B5EF4-FFF2-40B4-BE49-F238E27FC236}">
              <a16:creationId xmlns:a16="http://schemas.microsoft.com/office/drawing/2014/main" xmlns="" id="{342F42CB-71CB-4F57-9C55-141DAC48A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45" y="17967512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100857</xdr:colOff>
      <xdr:row>527</xdr:row>
      <xdr:rowOff>134470</xdr:rowOff>
    </xdr:from>
    <xdr:to>
      <xdr:col>0</xdr:col>
      <xdr:colOff>369798</xdr:colOff>
      <xdr:row>527</xdr:row>
      <xdr:rowOff>403412</xdr:rowOff>
    </xdr:to>
    <xdr:pic>
      <xdr:nvPicPr>
        <xdr:cNvPr id="1796" name="Рисунок 1795">
          <a:extLst>
            <a:ext uri="{FF2B5EF4-FFF2-40B4-BE49-F238E27FC236}">
              <a16:creationId xmlns:a16="http://schemas.microsoft.com/office/drawing/2014/main" xmlns="" id="{BEBDADFA-E741-4AE4-B426-DE7598681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7" y="18467294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129993</xdr:colOff>
      <xdr:row>530</xdr:row>
      <xdr:rowOff>129988</xdr:rowOff>
    </xdr:from>
    <xdr:to>
      <xdr:col>0</xdr:col>
      <xdr:colOff>398934</xdr:colOff>
      <xdr:row>530</xdr:row>
      <xdr:rowOff>398930</xdr:rowOff>
    </xdr:to>
    <xdr:pic>
      <xdr:nvPicPr>
        <xdr:cNvPr id="1797" name="Рисунок 1796">
          <a:extLst>
            <a:ext uri="{FF2B5EF4-FFF2-40B4-BE49-F238E27FC236}">
              <a16:creationId xmlns:a16="http://schemas.microsoft.com/office/drawing/2014/main" xmlns="" id="{CF1A9030-70BF-4B84-8E8C-D1349F11E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93" y="19975606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147922</xdr:colOff>
      <xdr:row>531</xdr:row>
      <xdr:rowOff>114301</xdr:rowOff>
    </xdr:from>
    <xdr:to>
      <xdr:col>0</xdr:col>
      <xdr:colOff>416863</xdr:colOff>
      <xdr:row>531</xdr:row>
      <xdr:rowOff>383243</xdr:rowOff>
    </xdr:to>
    <xdr:pic>
      <xdr:nvPicPr>
        <xdr:cNvPr id="1798" name="Рисунок 1797">
          <a:extLst>
            <a:ext uri="{FF2B5EF4-FFF2-40B4-BE49-F238E27FC236}">
              <a16:creationId xmlns:a16="http://schemas.microsoft.com/office/drawing/2014/main" xmlns="" id="{71C1C27A-C073-4C9E-B0C1-FD1FD6407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922" y="20464183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109822</xdr:colOff>
      <xdr:row>534</xdr:row>
      <xdr:rowOff>109819</xdr:rowOff>
    </xdr:from>
    <xdr:to>
      <xdr:col>0</xdr:col>
      <xdr:colOff>378763</xdr:colOff>
      <xdr:row>534</xdr:row>
      <xdr:rowOff>378761</xdr:rowOff>
    </xdr:to>
    <xdr:pic>
      <xdr:nvPicPr>
        <xdr:cNvPr id="1799" name="Рисунок 1798">
          <a:extLst>
            <a:ext uri="{FF2B5EF4-FFF2-40B4-BE49-F238E27FC236}">
              <a16:creationId xmlns:a16="http://schemas.microsoft.com/office/drawing/2014/main" xmlns="" id="{73C37884-918B-4D7A-98C2-22211ED39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2" y="21972495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138957</xdr:colOff>
      <xdr:row>535</xdr:row>
      <xdr:rowOff>161366</xdr:rowOff>
    </xdr:from>
    <xdr:to>
      <xdr:col>0</xdr:col>
      <xdr:colOff>407898</xdr:colOff>
      <xdr:row>535</xdr:row>
      <xdr:rowOff>430308</xdr:rowOff>
    </xdr:to>
    <xdr:pic>
      <xdr:nvPicPr>
        <xdr:cNvPr id="1800" name="Рисунок 1799">
          <a:extLst>
            <a:ext uri="{FF2B5EF4-FFF2-40B4-BE49-F238E27FC236}">
              <a16:creationId xmlns:a16="http://schemas.microsoft.com/office/drawing/2014/main" xmlns="" id="{D8F635B3-E725-49BF-B224-219C632FE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57" y="22528307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156886</xdr:colOff>
      <xdr:row>537</xdr:row>
      <xdr:rowOff>145678</xdr:rowOff>
    </xdr:from>
    <xdr:to>
      <xdr:col>0</xdr:col>
      <xdr:colOff>425827</xdr:colOff>
      <xdr:row>537</xdr:row>
      <xdr:rowOff>414620</xdr:rowOff>
    </xdr:to>
    <xdr:pic>
      <xdr:nvPicPr>
        <xdr:cNvPr id="1801" name="Рисунок 1800">
          <a:extLst>
            <a:ext uri="{FF2B5EF4-FFF2-40B4-BE49-F238E27FC236}">
              <a16:creationId xmlns:a16="http://schemas.microsoft.com/office/drawing/2014/main" xmlns="" id="{C207A536-12C3-4709-AD8F-ADF393D69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6" y="23521149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152404</xdr:colOff>
      <xdr:row>538</xdr:row>
      <xdr:rowOff>141196</xdr:rowOff>
    </xdr:from>
    <xdr:to>
      <xdr:col>0</xdr:col>
      <xdr:colOff>421345</xdr:colOff>
      <xdr:row>538</xdr:row>
      <xdr:rowOff>410138</xdr:rowOff>
    </xdr:to>
    <xdr:pic>
      <xdr:nvPicPr>
        <xdr:cNvPr id="1802" name="Рисунок 1801">
          <a:extLst>
            <a:ext uri="{FF2B5EF4-FFF2-40B4-BE49-F238E27FC236}">
              <a16:creationId xmlns:a16="http://schemas.microsoft.com/office/drawing/2014/main" xmlns="" id="{769DA197-F5D8-4523-B4EE-72263561F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4" y="24020931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181539</xdr:colOff>
      <xdr:row>539</xdr:row>
      <xdr:rowOff>136714</xdr:rowOff>
    </xdr:from>
    <xdr:to>
      <xdr:col>0</xdr:col>
      <xdr:colOff>450480</xdr:colOff>
      <xdr:row>539</xdr:row>
      <xdr:rowOff>405656</xdr:rowOff>
    </xdr:to>
    <xdr:pic>
      <xdr:nvPicPr>
        <xdr:cNvPr id="1803" name="Рисунок 1802">
          <a:extLst>
            <a:ext uri="{FF2B5EF4-FFF2-40B4-BE49-F238E27FC236}">
              <a16:creationId xmlns:a16="http://schemas.microsoft.com/office/drawing/2014/main" xmlns="" id="{48E3548B-8DE8-469F-A9E2-1B3DA07E5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9" y="24520714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199468</xdr:colOff>
      <xdr:row>540</xdr:row>
      <xdr:rowOff>132231</xdr:rowOff>
    </xdr:from>
    <xdr:to>
      <xdr:col>0</xdr:col>
      <xdr:colOff>468409</xdr:colOff>
      <xdr:row>540</xdr:row>
      <xdr:rowOff>401173</xdr:rowOff>
    </xdr:to>
    <xdr:pic>
      <xdr:nvPicPr>
        <xdr:cNvPr id="1804" name="Рисунок 1803">
          <a:extLst>
            <a:ext uri="{FF2B5EF4-FFF2-40B4-BE49-F238E27FC236}">
              <a16:creationId xmlns:a16="http://schemas.microsoft.com/office/drawing/2014/main" xmlns="" id="{DE9A9597-1E12-4FBE-AB51-1F98FC7F7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68" y="25020496"/>
          <a:ext cx="268941" cy="268942"/>
        </a:xfrm>
        <a:prstGeom prst="rect">
          <a:avLst/>
        </a:prstGeom>
      </xdr:spPr>
    </xdr:pic>
    <xdr:clientData/>
  </xdr:twoCellAnchor>
  <xdr:twoCellAnchor>
    <xdr:from>
      <xdr:col>0</xdr:col>
      <xdr:colOff>87405</xdr:colOff>
      <xdr:row>511</xdr:row>
      <xdr:rowOff>165847</xdr:rowOff>
    </xdr:from>
    <xdr:to>
      <xdr:col>0</xdr:col>
      <xdr:colOff>354105</xdr:colOff>
      <xdr:row>511</xdr:row>
      <xdr:rowOff>432548</xdr:rowOff>
    </xdr:to>
    <xdr:pic>
      <xdr:nvPicPr>
        <xdr:cNvPr id="1805" name="Рисунок 1804">
          <a:extLst>
            <a:ext uri="{FF2B5EF4-FFF2-40B4-BE49-F238E27FC236}">
              <a16:creationId xmlns:a16="http://schemas.microsoft.com/office/drawing/2014/main" xmlns="" id="{0D1A0402-4CD2-4CDA-8DAA-62C3D7EDD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05" y="10340788"/>
          <a:ext cx="266700" cy="266701"/>
        </a:xfrm>
        <a:prstGeom prst="rect">
          <a:avLst/>
        </a:prstGeom>
      </xdr:spPr>
    </xdr:pic>
    <xdr:clientData/>
  </xdr:twoCellAnchor>
  <xdr:twoCellAnchor>
    <xdr:from>
      <xdr:col>0</xdr:col>
      <xdr:colOff>907676</xdr:colOff>
      <xdr:row>424</xdr:row>
      <xdr:rowOff>1</xdr:rowOff>
    </xdr:from>
    <xdr:to>
      <xdr:col>0</xdr:col>
      <xdr:colOff>1602851</xdr:colOff>
      <xdr:row>425</xdr:row>
      <xdr:rowOff>44823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xmlns="" id="{7C143B1D-4B77-4EB1-97DB-F8CD7C280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676" y="213897883"/>
          <a:ext cx="695175" cy="549087"/>
        </a:xfrm>
        <a:prstGeom prst="rect">
          <a:avLst/>
        </a:prstGeom>
      </xdr:spPr>
    </xdr:pic>
    <xdr:clientData/>
  </xdr:twoCellAnchor>
  <xdr:twoCellAnchor>
    <xdr:from>
      <xdr:col>0</xdr:col>
      <xdr:colOff>836519</xdr:colOff>
      <xdr:row>985</xdr:row>
      <xdr:rowOff>493059</xdr:rowOff>
    </xdr:from>
    <xdr:to>
      <xdr:col>0</xdr:col>
      <xdr:colOff>1446983</xdr:colOff>
      <xdr:row>986</xdr:row>
      <xdr:rowOff>0</xdr:rowOff>
    </xdr:to>
    <xdr:pic>
      <xdr:nvPicPr>
        <xdr:cNvPr id="1790" name="Рисунок 1789">
          <a:extLst>
            <a:ext uri="{FF2B5EF4-FFF2-40B4-BE49-F238E27FC236}">
              <a16:creationId xmlns:a16="http://schemas.microsoft.com/office/drawing/2014/main" xmlns="" id="{12AACA65-C724-4DF8-811D-28EE1CBE2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16" r="22965"/>
        <a:stretch/>
      </xdr:blipFill>
      <xdr:spPr>
        <a:xfrm>
          <a:off x="836519" y="363238677"/>
          <a:ext cx="610464" cy="11205"/>
        </a:xfrm>
        <a:prstGeom prst="rect">
          <a:avLst/>
        </a:prstGeom>
      </xdr:spPr>
    </xdr:pic>
    <xdr:clientData/>
  </xdr:twoCellAnchor>
  <xdr:twoCellAnchor>
    <xdr:from>
      <xdr:col>0</xdr:col>
      <xdr:colOff>836519</xdr:colOff>
      <xdr:row>986</xdr:row>
      <xdr:rowOff>493059</xdr:rowOff>
    </xdr:from>
    <xdr:to>
      <xdr:col>0</xdr:col>
      <xdr:colOff>1446983</xdr:colOff>
      <xdr:row>987</xdr:row>
      <xdr:rowOff>0</xdr:rowOff>
    </xdr:to>
    <xdr:pic>
      <xdr:nvPicPr>
        <xdr:cNvPr id="1810" name="Рисунок 1809">
          <a:extLst>
            <a:ext uri="{FF2B5EF4-FFF2-40B4-BE49-F238E27FC236}">
              <a16:creationId xmlns:a16="http://schemas.microsoft.com/office/drawing/2014/main" xmlns="" id="{F263096B-7360-4719-99EE-779D8A0505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16" r="22965"/>
        <a:stretch/>
      </xdr:blipFill>
      <xdr:spPr>
        <a:xfrm>
          <a:off x="836519" y="363238677"/>
          <a:ext cx="610464" cy="11205"/>
        </a:xfrm>
        <a:prstGeom prst="rect">
          <a:avLst/>
        </a:prstGeom>
      </xdr:spPr>
    </xdr:pic>
    <xdr:clientData/>
  </xdr:twoCellAnchor>
  <xdr:twoCellAnchor>
    <xdr:from>
      <xdr:col>0</xdr:col>
      <xdr:colOff>836519</xdr:colOff>
      <xdr:row>982</xdr:row>
      <xdr:rowOff>493059</xdr:rowOff>
    </xdr:from>
    <xdr:to>
      <xdr:col>0</xdr:col>
      <xdr:colOff>1446983</xdr:colOff>
      <xdr:row>983</xdr:row>
      <xdr:rowOff>490694</xdr:rowOff>
    </xdr:to>
    <xdr:pic>
      <xdr:nvPicPr>
        <xdr:cNvPr id="1811" name="Рисунок 1810">
          <a:extLst>
            <a:ext uri="{FF2B5EF4-FFF2-40B4-BE49-F238E27FC236}">
              <a16:creationId xmlns:a16="http://schemas.microsoft.com/office/drawing/2014/main" xmlns="" id="{E14987D0-AA84-4F6F-A7B9-EEBB986CA0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16" r="22965"/>
        <a:stretch/>
      </xdr:blipFill>
      <xdr:spPr>
        <a:xfrm>
          <a:off x="836519" y="361221618"/>
          <a:ext cx="610464" cy="501900"/>
        </a:xfrm>
        <a:prstGeom prst="rect">
          <a:avLst/>
        </a:prstGeom>
      </xdr:spPr>
    </xdr:pic>
    <xdr:clientData/>
  </xdr:twoCellAnchor>
  <xdr:twoCellAnchor>
    <xdr:from>
      <xdr:col>0</xdr:col>
      <xdr:colOff>874620</xdr:colOff>
      <xdr:row>984</xdr:row>
      <xdr:rowOff>7844</xdr:rowOff>
    </xdr:from>
    <xdr:to>
      <xdr:col>0</xdr:col>
      <xdr:colOff>1403958</xdr:colOff>
      <xdr:row>984</xdr:row>
      <xdr:rowOff>490694</xdr:rowOff>
    </xdr:to>
    <xdr:pic>
      <xdr:nvPicPr>
        <xdr:cNvPr id="1812" name="Рисунок 1811">
          <a:extLst>
            <a:ext uri="{FF2B5EF4-FFF2-40B4-BE49-F238E27FC236}">
              <a16:creationId xmlns:a16="http://schemas.microsoft.com/office/drawing/2014/main" xmlns="" id="{BE18AE0A-19E1-4CDD-81E4-1858998470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039" r="29883"/>
        <a:stretch/>
      </xdr:blipFill>
      <xdr:spPr>
        <a:xfrm>
          <a:off x="874620" y="361744932"/>
          <a:ext cx="529338" cy="482850"/>
        </a:xfrm>
        <a:prstGeom prst="rect">
          <a:avLst/>
        </a:prstGeom>
      </xdr:spPr>
    </xdr:pic>
    <xdr:clientData/>
  </xdr:twoCellAnchor>
  <xdr:twoCellAnchor>
    <xdr:from>
      <xdr:col>0</xdr:col>
      <xdr:colOff>884144</xdr:colOff>
      <xdr:row>985</xdr:row>
      <xdr:rowOff>7844</xdr:rowOff>
    </xdr:from>
    <xdr:to>
      <xdr:col>0</xdr:col>
      <xdr:colOff>1430375</xdr:colOff>
      <xdr:row>985</xdr:row>
      <xdr:rowOff>490694</xdr:rowOff>
    </xdr:to>
    <xdr:pic>
      <xdr:nvPicPr>
        <xdr:cNvPr id="1813" name="Рисунок 1812">
          <a:extLst>
            <a:ext uri="{FF2B5EF4-FFF2-40B4-BE49-F238E27FC236}">
              <a16:creationId xmlns:a16="http://schemas.microsoft.com/office/drawing/2014/main" xmlns="" id="{F3BB9641-7B83-43E8-9C32-BE4E586234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76" r="29688"/>
        <a:stretch/>
      </xdr:blipFill>
      <xdr:spPr>
        <a:xfrm>
          <a:off x="884144" y="362249197"/>
          <a:ext cx="546231" cy="482850"/>
        </a:xfrm>
        <a:prstGeom prst="rect">
          <a:avLst/>
        </a:prstGeom>
      </xdr:spPr>
    </xdr:pic>
    <xdr:clientData/>
  </xdr:twoCellAnchor>
  <xdr:twoCellAnchor>
    <xdr:from>
      <xdr:col>0</xdr:col>
      <xdr:colOff>903195</xdr:colOff>
      <xdr:row>986</xdr:row>
      <xdr:rowOff>7844</xdr:rowOff>
    </xdr:from>
    <xdr:to>
      <xdr:col>0</xdr:col>
      <xdr:colOff>1436287</xdr:colOff>
      <xdr:row>986</xdr:row>
      <xdr:rowOff>490694</xdr:rowOff>
    </xdr:to>
    <xdr:pic>
      <xdr:nvPicPr>
        <xdr:cNvPr id="1814" name="Рисунок 1813">
          <a:extLst>
            <a:ext uri="{FF2B5EF4-FFF2-40B4-BE49-F238E27FC236}">
              <a16:creationId xmlns:a16="http://schemas.microsoft.com/office/drawing/2014/main" xmlns="" id="{025C03B9-F0AE-426D-9603-088CA57BE7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49" r="29883"/>
        <a:stretch/>
      </xdr:blipFill>
      <xdr:spPr>
        <a:xfrm>
          <a:off x="903195" y="362753462"/>
          <a:ext cx="533092" cy="482850"/>
        </a:xfrm>
        <a:prstGeom prst="rect">
          <a:avLst/>
        </a:prstGeom>
      </xdr:spPr>
    </xdr:pic>
    <xdr:clientData/>
  </xdr:twoCellAnchor>
  <xdr:twoCellAnchor>
    <xdr:from>
      <xdr:col>0</xdr:col>
      <xdr:colOff>793889</xdr:colOff>
      <xdr:row>425</xdr:row>
      <xdr:rowOff>112059</xdr:rowOff>
    </xdr:from>
    <xdr:to>
      <xdr:col>0</xdr:col>
      <xdr:colOff>1657102</xdr:colOff>
      <xdr:row>426</xdr:row>
      <xdr:rowOff>235323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xmlns="" id="{008941C5-3983-446E-97D0-829CD3E21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889" y="214514206"/>
          <a:ext cx="863213" cy="627529"/>
        </a:xfrm>
        <a:prstGeom prst="rect">
          <a:avLst/>
        </a:prstGeom>
      </xdr:spPr>
    </xdr:pic>
    <xdr:clientData/>
  </xdr:twoCellAnchor>
  <xdr:twoCellAnchor>
    <xdr:from>
      <xdr:col>0</xdr:col>
      <xdr:colOff>739590</xdr:colOff>
      <xdr:row>426</xdr:row>
      <xdr:rowOff>419332</xdr:rowOff>
    </xdr:from>
    <xdr:to>
      <xdr:col>0</xdr:col>
      <xdr:colOff>1613648</xdr:colOff>
      <xdr:row>428</xdr:row>
      <xdr:rowOff>335055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xmlns="" id="{F4FC6CF2-002A-47A6-8C24-9843D1C42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590" y="215325744"/>
          <a:ext cx="874058" cy="924252"/>
        </a:xfrm>
        <a:prstGeom prst="rect">
          <a:avLst/>
        </a:prstGeom>
      </xdr:spPr>
    </xdr:pic>
    <xdr:clientData/>
  </xdr:twoCellAnchor>
  <xdr:twoCellAnchor>
    <xdr:from>
      <xdr:col>0</xdr:col>
      <xdr:colOff>712694</xdr:colOff>
      <xdr:row>429</xdr:row>
      <xdr:rowOff>33618</xdr:rowOff>
    </xdr:from>
    <xdr:to>
      <xdr:col>0</xdr:col>
      <xdr:colOff>1639957</xdr:colOff>
      <xdr:row>431</xdr:row>
      <xdr:rowOff>5600</xdr:rowOff>
    </xdr:to>
    <xdr:pic>
      <xdr:nvPicPr>
        <xdr:cNvPr id="1815" name="Рисунок 1814">
          <a:extLst>
            <a:ext uri="{FF2B5EF4-FFF2-40B4-BE49-F238E27FC236}">
              <a16:creationId xmlns:a16="http://schemas.microsoft.com/office/drawing/2014/main" xmlns="" id="{A8246BB6-F1BA-42E0-B2AC-5298364A8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694" y="216452824"/>
          <a:ext cx="927263" cy="980512"/>
        </a:xfrm>
        <a:prstGeom prst="rect">
          <a:avLst/>
        </a:prstGeom>
      </xdr:spPr>
    </xdr:pic>
    <xdr:clientData/>
  </xdr:twoCellAnchor>
  <xdr:twoCellAnchor>
    <xdr:from>
      <xdr:col>0</xdr:col>
      <xdr:colOff>605119</xdr:colOff>
      <xdr:row>440</xdr:row>
      <xdr:rowOff>201705</xdr:rowOff>
    </xdr:from>
    <xdr:to>
      <xdr:col>0</xdr:col>
      <xdr:colOff>1905000</xdr:colOff>
      <xdr:row>442</xdr:row>
      <xdr:rowOff>137027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xmlns="" id="{A5948F93-7FDA-4F71-9834-20C1BBDEE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9" y="222167823"/>
          <a:ext cx="1299881" cy="943851"/>
        </a:xfrm>
        <a:prstGeom prst="rect">
          <a:avLst/>
        </a:prstGeom>
      </xdr:spPr>
    </xdr:pic>
    <xdr:clientData/>
  </xdr:twoCellAnchor>
  <xdr:twoCellAnchor>
    <xdr:from>
      <xdr:col>0</xdr:col>
      <xdr:colOff>578225</xdr:colOff>
      <xdr:row>443</xdr:row>
      <xdr:rowOff>11206</xdr:rowOff>
    </xdr:from>
    <xdr:to>
      <xdr:col>0</xdr:col>
      <xdr:colOff>1949096</xdr:colOff>
      <xdr:row>444</xdr:row>
      <xdr:rowOff>502338</xdr:rowOff>
    </xdr:to>
    <xdr:pic>
      <xdr:nvPicPr>
        <xdr:cNvPr id="1816" name="Рисунок 1815">
          <a:extLst>
            <a:ext uri="{FF2B5EF4-FFF2-40B4-BE49-F238E27FC236}">
              <a16:creationId xmlns:a16="http://schemas.microsoft.com/office/drawing/2014/main" xmlns="" id="{97539A7F-7C9C-426C-AE20-7CBFF5526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225" y="223490118"/>
          <a:ext cx="1370871" cy="995397"/>
        </a:xfrm>
        <a:prstGeom prst="rect">
          <a:avLst/>
        </a:prstGeom>
      </xdr:spPr>
    </xdr:pic>
    <xdr:clientData/>
  </xdr:twoCellAnchor>
  <xdr:twoCellAnchor>
    <xdr:from>
      <xdr:col>0</xdr:col>
      <xdr:colOff>728383</xdr:colOff>
      <xdr:row>434</xdr:row>
      <xdr:rowOff>25955</xdr:rowOff>
    </xdr:from>
    <xdr:to>
      <xdr:col>0</xdr:col>
      <xdr:colOff>1658471</xdr:colOff>
      <xdr:row>435</xdr:row>
      <xdr:rowOff>357469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xmlns="" id="{F77A229B-0A18-4E8F-8224-44E44C3A6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383" y="218966484"/>
          <a:ext cx="930088" cy="835778"/>
        </a:xfrm>
        <a:prstGeom prst="rect">
          <a:avLst/>
        </a:prstGeom>
      </xdr:spPr>
    </xdr:pic>
    <xdr:clientData/>
  </xdr:twoCellAnchor>
  <xdr:twoCellAnchor>
    <xdr:from>
      <xdr:col>0</xdr:col>
      <xdr:colOff>701489</xdr:colOff>
      <xdr:row>436</xdr:row>
      <xdr:rowOff>144737</xdr:rowOff>
    </xdr:from>
    <xdr:to>
      <xdr:col>0</xdr:col>
      <xdr:colOff>1631577</xdr:colOff>
      <xdr:row>437</xdr:row>
      <xdr:rowOff>476250</xdr:rowOff>
    </xdr:to>
    <xdr:pic>
      <xdr:nvPicPr>
        <xdr:cNvPr id="1817" name="Рисунок 1816">
          <a:extLst>
            <a:ext uri="{FF2B5EF4-FFF2-40B4-BE49-F238E27FC236}">
              <a16:creationId xmlns:a16="http://schemas.microsoft.com/office/drawing/2014/main" xmlns="" id="{61CC3FAA-82C1-407A-8B43-14635230D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489" y="13849531"/>
          <a:ext cx="930088" cy="835778"/>
        </a:xfrm>
        <a:prstGeom prst="rect">
          <a:avLst/>
        </a:prstGeom>
      </xdr:spPr>
    </xdr:pic>
    <xdr:clientData/>
  </xdr:twoCellAnchor>
  <xdr:twoCellAnchor>
    <xdr:from>
      <xdr:col>0</xdr:col>
      <xdr:colOff>336176</xdr:colOff>
      <xdr:row>447</xdr:row>
      <xdr:rowOff>226742</xdr:rowOff>
    </xdr:from>
    <xdr:to>
      <xdr:col>0</xdr:col>
      <xdr:colOff>2173941</xdr:colOff>
      <xdr:row>449</xdr:row>
      <xdr:rowOff>284597</xdr:rowOff>
    </xdr:to>
    <xdr:pic>
      <xdr:nvPicPr>
        <xdr:cNvPr id="774" name="Рисунок 773">
          <a:extLst>
            <a:ext uri="{FF2B5EF4-FFF2-40B4-BE49-F238E27FC236}">
              <a16:creationId xmlns:a16="http://schemas.microsoft.com/office/drawing/2014/main" xmlns="" id="{13B512A6-B7B4-4069-90B6-9268B5207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6" y="225722713"/>
          <a:ext cx="1837765" cy="1066384"/>
        </a:xfrm>
        <a:prstGeom prst="rect">
          <a:avLst/>
        </a:prstGeom>
      </xdr:spPr>
    </xdr:pic>
    <xdr:clientData/>
  </xdr:twoCellAnchor>
  <xdr:twoCellAnchor>
    <xdr:from>
      <xdr:col>0</xdr:col>
      <xdr:colOff>365311</xdr:colOff>
      <xdr:row>450</xdr:row>
      <xdr:rowOff>121407</xdr:rowOff>
    </xdr:from>
    <xdr:to>
      <xdr:col>0</xdr:col>
      <xdr:colOff>2203076</xdr:colOff>
      <xdr:row>452</xdr:row>
      <xdr:rowOff>179262</xdr:rowOff>
    </xdr:to>
    <xdr:pic>
      <xdr:nvPicPr>
        <xdr:cNvPr id="1818" name="Рисунок 1817">
          <a:extLst>
            <a:ext uri="{FF2B5EF4-FFF2-40B4-BE49-F238E27FC236}">
              <a16:creationId xmlns:a16="http://schemas.microsoft.com/office/drawing/2014/main" xmlns="" id="{21C6BE64-C90A-41CB-8C23-202E53964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311" y="227130172"/>
          <a:ext cx="1837765" cy="1066384"/>
        </a:xfrm>
        <a:prstGeom prst="rect">
          <a:avLst/>
        </a:prstGeom>
      </xdr:spPr>
    </xdr:pic>
    <xdr:clientData/>
  </xdr:twoCellAnchor>
  <xdr:twoCellAnchor>
    <xdr:from>
      <xdr:col>0</xdr:col>
      <xdr:colOff>156882</xdr:colOff>
      <xdr:row>454</xdr:row>
      <xdr:rowOff>22411</xdr:rowOff>
    </xdr:from>
    <xdr:to>
      <xdr:col>0</xdr:col>
      <xdr:colOff>2409396</xdr:colOff>
      <xdr:row>456</xdr:row>
      <xdr:rowOff>138834</xdr:rowOff>
    </xdr:to>
    <xdr:pic>
      <xdr:nvPicPr>
        <xdr:cNvPr id="778" name="Рисунок 777">
          <a:extLst>
            <a:ext uri="{FF2B5EF4-FFF2-40B4-BE49-F238E27FC236}">
              <a16:creationId xmlns:a16="http://schemas.microsoft.com/office/drawing/2014/main" xmlns="" id="{54FDCBBA-3C69-427C-82A7-9C9AB9B12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229048235"/>
          <a:ext cx="2252514" cy="1124952"/>
        </a:xfrm>
        <a:prstGeom prst="rect">
          <a:avLst/>
        </a:prstGeom>
      </xdr:spPr>
    </xdr:pic>
    <xdr:clientData/>
  </xdr:twoCellAnchor>
  <xdr:twoCellAnchor>
    <xdr:from>
      <xdr:col>0</xdr:col>
      <xdr:colOff>208429</xdr:colOff>
      <xdr:row>456</xdr:row>
      <xdr:rowOff>463966</xdr:rowOff>
    </xdr:from>
    <xdr:to>
      <xdr:col>1</xdr:col>
      <xdr:colOff>-1</xdr:colOff>
      <xdr:row>459</xdr:row>
      <xdr:rowOff>257736</xdr:rowOff>
    </xdr:to>
    <xdr:pic>
      <xdr:nvPicPr>
        <xdr:cNvPr id="1819" name="Рисунок 1818">
          <a:extLst>
            <a:ext uri="{FF2B5EF4-FFF2-40B4-BE49-F238E27FC236}">
              <a16:creationId xmlns:a16="http://schemas.microsoft.com/office/drawing/2014/main" xmlns="" id="{14BB6AF1-D9C7-4222-AD3C-024DBEB26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429" y="24254054"/>
          <a:ext cx="2212041" cy="1306564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2666</xdr:row>
      <xdr:rowOff>112057</xdr:rowOff>
    </xdr:from>
    <xdr:to>
      <xdr:col>0</xdr:col>
      <xdr:colOff>537882</xdr:colOff>
      <xdr:row>2669</xdr:row>
      <xdr:rowOff>33616</xdr:rowOff>
    </xdr:to>
    <xdr:pic>
      <xdr:nvPicPr>
        <xdr:cNvPr id="1820" name="Рисунок 1819">
          <a:extLst>
            <a:ext uri="{FF2B5EF4-FFF2-40B4-BE49-F238E27FC236}">
              <a16:creationId xmlns:a16="http://schemas.microsoft.com/office/drawing/2014/main" xmlns="" id="{02C7D1E2-03EC-4D78-BC61-869B342D2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4" y="213897881"/>
          <a:ext cx="493058" cy="493059"/>
        </a:xfrm>
        <a:prstGeom prst="rect">
          <a:avLst/>
        </a:prstGeom>
      </xdr:spPr>
    </xdr:pic>
    <xdr:clientData/>
  </xdr:twoCellAnchor>
  <xdr:twoCellAnchor>
    <xdr:from>
      <xdr:col>0</xdr:col>
      <xdr:colOff>40340</xdr:colOff>
      <xdr:row>509</xdr:row>
      <xdr:rowOff>17929</xdr:rowOff>
    </xdr:from>
    <xdr:to>
      <xdr:col>0</xdr:col>
      <xdr:colOff>533398</xdr:colOff>
      <xdr:row>510</xdr:row>
      <xdr:rowOff>0</xdr:rowOff>
    </xdr:to>
    <xdr:pic>
      <xdr:nvPicPr>
        <xdr:cNvPr id="1821" name="Рисунок 1820">
          <a:extLst>
            <a:ext uri="{FF2B5EF4-FFF2-40B4-BE49-F238E27FC236}">
              <a16:creationId xmlns:a16="http://schemas.microsoft.com/office/drawing/2014/main" xmlns="" id="{D430AA4A-398A-4531-94D5-956DDF5B0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0" y="9184341"/>
          <a:ext cx="493058" cy="486335"/>
        </a:xfrm>
        <a:prstGeom prst="rect">
          <a:avLst/>
        </a:prstGeom>
      </xdr:spPr>
    </xdr:pic>
    <xdr:clientData/>
  </xdr:twoCellAnchor>
  <xdr:twoCellAnchor>
    <xdr:from>
      <xdr:col>0</xdr:col>
      <xdr:colOff>276227</xdr:colOff>
      <xdr:row>1318</xdr:row>
      <xdr:rowOff>24092</xdr:rowOff>
    </xdr:from>
    <xdr:to>
      <xdr:col>0</xdr:col>
      <xdr:colOff>779931</xdr:colOff>
      <xdr:row>1318</xdr:row>
      <xdr:rowOff>502022</xdr:rowOff>
    </xdr:to>
    <xdr:pic>
      <xdr:nvPicPr>
        <xdr:cNvPr id="1822" name="Рисунок 1821">
          <a:extLst>
            <a:ext uri="{FF2B5EF4-FFF2-40B4-BE49-F238E27FC236}">
              <a16:creationId xmlns:a16="http://schemas.microsoft.com/office/drawing/2014/main" xmlns="" id="{71785EF1-2938-48D2-BD2C-F1D1574D5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7" y="18771533"/>
          <a:ext cx="503704" cy="477930"/>
        </a:xfrm>
        <a:prstGeom prst="rect">
          <a:avLst/>
        </a:prstGeom>
      </xdr:spPr>
    </xdr:pic>
    <xdr:clientData/>
  </xdr:twoCellAnchor>
  <xdr:twoCellAnchor>
    <xdr:from>
      <xdr:col>0</xdr:col>
      <xdr:colOff>732306</xdr:colOff>
      <xdr:row>4572</xdr:row>
      <xdr:rowOff>122414</xdr:rowOff>
    </xdr:from>
    <xdr:to>
      <xdr:col>0</xdr:col>
      <xdr:colOff>1360956</xdr:colOff>
      <xdr:row>4574</xdr:row>
      <xdr:rowOff>184898</xdr:rowOff>
    </xdr:to>
    <xdr:pic>
      <xdr:nvPicPr>
        <xdr:cNvPr id="1823" name="Рисунок 1822">
          <a:extLst>
            <a:ext uri="{FF2B5EF4-FFF2-40B4-BE49-F238E27FC236}">
              <a16:creationId xmlns:a16="http://schemas.microsoft.com/office/drawing/2014/main" xmlns="" id="{BF2F86FD-8400-4582-981B-67E3348BF1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4" t="20577" r="16749" b="26197"/>
        <a:stretch/>
      </xdr:blipFill>
      <xdr:spPr>
        <a:xfrm>
          <a:off x="732306" y="580531090"/>
          <a:ext cx="628650" cy="443484"/>
        </a:xfrm>
        <a:prstGeom prst="rect">
          <a:avLst/>
        </a:prstGeom>
      </xdr:spPr>
    </xdr:pic>
    <xdr:clientData/>
  </xdr:twoCellAnchor>
  <xdr:twoCellAnchor>
    <xdr:from>
      <xdr:col>0</xdr:col>
      <xdr:colOff>884706</xdr:colOff>
      <xdr:row>4573</xdr:row>
      <xdr:rowOff>84314</xdr:rowOff>
    </xdr:from>
    <xdr:to>
      <xdr:col>0</xdr:col>
      <xdr:colOff>1513356</xdr:colOff>
      <xdr:row>4575</xdr:row>
      <xdr:rowOff>146798</xdr:rowOff>
    </xdr:to>
    <xdr:pic>
      <xdr:nvPicPr>
        <xdr:cNvPr id="1824" name="Рисунок 1823">
          <a:extLst>
            <a:ext uri="{FF2B5EF4-FFF2-40B4-BE49-F238E27FC236}">
              <a16:creationId xmlns:a16="http://schemas.microsoft.com/office/drawing/2014/main" xmlns="" id="{F186A94A-79B6-47C7-8F1A-2BFC2F39A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4" t="20577" r="16749" b="26197"/>
        <a:stretch/>
      </xdr:blipFill>
      <xdr:spPr>
        <a:xfrm>
          <a:off x="884706" y="580683490"/>
          <a:ext cx="628650" cy="443484"/>
        </a:xfrm>
        <a:prstGeom prst="rect">
          <a:avLst/>
        </a:prstGeom>
      </xdr:spPr>
    </xdr:pic>
    <xdr:clientData/>
  </xdr:twoCellAnchor>
  <xdr:twoCellAnchor>
    <xdr:from>
      <xdr:col>0</xdr:col>
      <xdr:colOff>806265</xdr:colOff>
      <xdr:row>1318</xdr:row>
      <xdr:rowOff>39489</xdr:rowOff>
    </xdr:from>
    <xdr:to>
      <xdr:col>0</xdr:col>
      <xdr:colOff>1434915</xdr:colOff>
      <xdr:row>1318</xdr:row>
      <xdr:rowOff>482973</xdr:rowOff>
    </xdr:to>
    <xdr:pic>
      <xdr:nvPicPr>
        <xdr:cNvPr id="1825" name="Рисунок 1824">
          <a:extLst>
            <a:ext uri="{FF2B5EF4-FFF2-40B4-BE49-F238E27FC236}">
              <a16:creationId xmlns:a16="http://schemas.microsoft.com/office/drawing/2014/main" xmlns="" id="{35639FE3-89FC-40D7-B0C7-5B82CFDCF0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4" t="20577" r="16749" b="26197"/>
        <a:stretch/>
      </xdr:blipFill>
      <xdr:spPr>
        <a:xfrm>
          <a:off x="806265" y="18786930"/>
          <a:ext cx="628650" cy="443484"/>
        </a:xfrm>
        <a:prstGeom prst="rect">
          <a:avLst/>
        </a:prstGeom>
      </xdr:spPr>
    </xdr:pic>
    <xdr:clientData/>
  </xdr:twoCellAnchor>
  <xdr:twoCellAnchor>
    <xdr:from>
      <xdr:col>0</xdr:col>
      <xdr:colOff>537882</xdr:colOff>
      <xdr:row>438</xdr:row>
      <xdr:rowOff>450494</xdr:rowOff>
    </xdr:from>
    <xdr:to>
      <xdr:col>0</xdr:col>
      <xdr:colOff>1893794</xdr:colOff>
      <xdr:row>440</xdr:row>
      <xdr:rowOff>63963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xmlns="" id="{8914FC35-52D8-4DDD-9A8F-9329A1C9C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882" y="15163818"/>
          <a:ext cx="1355912" cy="621998"/>
        </a:xfrm>
        <a:prstGeom prst="rect">
          <a:avLst/>
        </a:prstGeom>
      </xdr:spPr>
    </xdr:pic>
    <xdr:clientData/>
  </xdr:twoCellAnchor>
  <xdr:twoCellAnchor>
    <xdr:from>
      <xdr:col>0</xdr:col>
      <xdr:colOff>392205</xdr:colOff>
      <xdr:row>445</xdr:row>
      <xdr:rowOff>443436</xdr:rowOff>
    </xdr:from>
    <xdr:to>
      <xdr:col>0</xdr:col>
      <xdr:colOff>2050676</xdr:colOff>
      <xdr:row>447</xdr:row>
      <xdr:rowOff>127430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FB93E906-1E84-4B86-9500-E86257200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05" y="18686612"/>
          <a:ext cx="1658471" cy="692524"/>
        </a:xfrm>
        <a:prstGeom prst="rect">
          <a:avLst/>
        </a:prstGeom>
      </xdr:spPr>
    </xdr:pic>
    <xdr:clientData/>
  </xdr:twoCellAnchor>
  <xdr:twoCellAnchor>
    <xdr:from>
      <xdr:col>0</xdr:col>
      <xdr:colOff>246529</xdr:colOff>
      <xdr:row>452</xdr:row>
      <xdr:rowOff>313765</xdr:rowOff>
    </xdr:from>
    <xdr:to>
      <xdr:col>0</xdr:col>
      <xdr:colOff>2229970</xdr:colOff>
      <xdr:row>454</xdr:row>
      <xdr:rowOff>85308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00580D9B-A646-4700-8367-C40173328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" y="22086794"/>
          <a:ext cx="1983441" cy="780073"/>
        </a:xfrm>
        <a:prstGeom prst="rect">
          <a:avLst/>
        </a:prstGeom>
      </xdr:spPr>
    </xdr:pic>
    <xdr:clientData/>
  </xdr:twoCellAnchor>
  <xdr:twoCellAnchor>
    <xdr:from>
      <xdr:col>0</xdr:col>
      <xdr:colOff>682352</xdr:colOff>
      <xdr:row>432</xdr:row>
      <xdr:rowOff>33618</xdr:rowOff>
    </xdr:from>
    <xdr:to>
      <xdr:col>0</xdr:col>
      <xdr:colOff>1692090</xdr:colOff>
      <xdr:row>433</xdr:row>
      <xdr:rowOff>22412</xdr:rowOff>
    </xdr:to>
    <xdr:pic>
      <xdr:nvPicPr>
        <xdr:cNvPr id="776" name="Рисунок 775">
          <a:extLst>
            <a:ext uri="{FF2B5EF4-FFF2-40B4-BE49-F238E27FC236}">
              <a16:creationId xmlns:a16="http://schemas.microsoft.com/office/drawing/2014/main" xmlns="" id="{80830CAF-FEA3-43A8-923A-C09E23555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352" y="11721353"/>
          <a:ext cx="1009738" cy="493059"/>
        </a:xfrm>
        <a:prstGeom prst="rect">
          <a:avLst/>
        </a:prstGeom>
      </xdr:spPr>
    </xdr:pic>
    <xdr:clientData/>
  </xdr:twoCellAnchor>
  <xdr:twoCellAnchor>
    <xdr:from>
      <xdr:col>0</xdr:col>
      <xdr:colOff>224118</xdr:colOff>
      <xdr:row>1049</xdr:row>
      <xdr:rowOff>168088</xdr:rowOff>
    </xdr:from>
    <xdr:to>
      <xdr:col>0</xdr:col>
      <xdr:colOff>2207559</xdr:colOff>
      <xdr:row>1050</xdr:row>
      <xdr:rowOff>448041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xmlns="" id="{032CADF8-1B6A-4A2F-8812-7E0C628BC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18" y="19419794"/>
          <a:ext cx="1983441" cy="7842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116416</xdr:colOff>
      <xdr:row>34</xdr:row>
      <xdr:rowOff>43804</xdr:rowOff>
    </xdr:from>
    <xdr:to>
      <xdr:col>0</xdr:col>
      <xdr:colOff>772583</xdr:colOff>
      <xdr:row>34</xdr:row>
      <xdr:rowOff>497415</xdr:rowOff>
    </xdr:to>
    <xdr:pic>
      <xdr:nvPicPr>
        <xdr:cNvPr id="888" name="Рисунок 887">
          <a:extLst>
            <a:ext uri="{FF2B5EF4-FFF2-40B4-BE49-F238E27FC236}">
              <a16:creationId xmlns:a16="http://schemas.microsoft.com/office/drawing/2014/main" xmlns="" id="{00000000-0008-0000-0100-000078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2" t="19951" r="28024" b="28882"/>
        <a:stretch/>
      </xdr:blipFill>
      <xdr:spPr>
        <a:xfrm>
          <a:off x="116416" y="435707779"/>
          <a:ext cx="656167" cy="453611"/>
        </a:xfrm>
        <a:prstGeom prst="rect">
          <a:avLst/>
        </a:prstGeom>
      </xdr:spPr>
    </xdr:pic>
    <xdr:clientData/>
  </xdr:twoCellAnchor>
  <xdr:twoCellAnchor>
    <xdr:from>
      <xdr:col>0</xdr:col>
      <xdr:colOff>52918</xdr:colOff>
      <xdr:row>32</xdr:row>
      <xdr:rowOff>730250</xdr:rowOff>
    </xdr:from>
    <xdr:to>
      <xdr:col>1</xdr:col>
      <xdr:colOff>598</xdr:colOff>
      <xdr:row>32</xdr:row>
      <xdr:rowOff>1037166</xdr:rowOff>
    </xdr:to>
    <xdr:pic>
      <xdr:nvPicPr>
        <xdr:cNvPr id="933" name="Рисунок 932">
          <a:extLst>
            <a:ext uri="{FF2B5EF4-FFF2-40B4-BE49-F238E27FC236}">
              <a16:creationId xmlns:a16="http://schemas.microsoft.com/office/drawing/2014/main" xmlns="" id="{00000000-0008-0000-0100-0000A5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66" t="29604" r="17490" b="27408"/>
        <a:stretch/>
      </xdr:blipFill>
      <xdr:spPr>
        <a:xfrm>
          <a:off x="52918" y="434651150"/>
          <a:ext cx="804930" cy="2116"/>
        </a:xfrm>
        <a:prstGeom prst="rect">
          <a:avLst/>
        </a:prstGeom>
      </xdr:spPr>
    </xdr:pic>
    <xdr:clientData/>
  </xdr:twoCellAnchor>
  <xdr:twoCellAnchor>
    <xdr:from>
      <xdr:col>0</xdr:col>
      <xdr:colOff>52918</xdr:colOff>
      <xdr:row>33</xdr:row>
      <xdr:rowOff>730250</xdr:rowOff>
    </xdr:from>
    <xdr:to>
      <xdr:col>1</xdr:col>
      <xdr:colOff>598</xdr:colOff>
      <xdr:row>33</xdr:row>
      <xdr:rowOff>1037166</xdr:rowOff>
    </xdr:to>
    <xdr:pic>
      <xdr:nvPicPr>
        <xdr:cNvPr id="934" name="Рисунок 933">
          <a:extLst>
            <a:ext uri="{FF2B5EF4-FFF2-40B4-BE49-F238E27FC236}">
              <a16:creationId xmlns:a16="http://schemas.microsoft.com/office/drawing/2014/main" xmlns="" id="{00000000-0008-0000-0100-0000A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66" t="29604" r="17490" b="27408"/>
        <a:stretch/>
      </xdr:blipFill>
      <xdr:spPr>
        <a:xfrm>
          <a:off x="52918" y="435155975"/>
          <a:ext cx="804930" cy="2116"/>
        </a:xfrm>
        <a:prstGeom prst="rect">
          <a:avLst/>
        </a:prstGeom>
      </xdr:spPr>
    </xdr:pic>
    <xdr:clientData/>
  </xdr:twoCellAnchor>
  <xdr:twoCellAnchor>
    <xdr:from>
      <xdr:col>0</xdr:col>
      <xdr:colOff>21890</xdr:colOff>
      <xdr:row>20</xdr:row>
      <xdr:rowOff>95250</xdr:rowOff>
    </xdr:from>
    <xdr:to>
      <xdr:col>0</xdr:col>
      <xdr:colOff>802838</xdr:colOff>
      <xdr:row>20</xdr:row>
      <xdr:rowOff>536417</xdr:rowOff>
    </xdr:to>
    <xdr:pic>
      <xdr:nvPicPr>
        <xdr:cNvPr id="983" name="Рисунок 982">
          <a:extLst>
            <a:ext uri="{FF2B5EF4-FFF2-40B4-BE49-F238E27FC236}">
              <a16:creationId xmlns:a16="http://schemas.microsoft.com/office/drawing/2014/main" xmlns="" id="{00000000-0008-0000-01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240" y="412832550"/>
          <a:ext cx="780948" cy="441167"/>
        </a:xfrm>
        <a:prstGeom prst="rect">
          <a:avLst/>
        </a:prstGeom>
      </xdr:spPr>
    </xdr:pic>
    <xdr:clientData/>
  </xdr:twoCellAnchor>
  <xdr:twoCellAnchor>
    <xdr:from>
      <xdr:col>0</xdr:col>
      <xdr:colOff>95249</xdr:colOff>
      <xdr:row>18</xdr:row>
      <xdr:rowOff>68982</xdr:rowOff>
    </xdr:from>
    <xdr:to>
      <xdr:col>0</xdr:col>
      <xdr:colOff>612320</xdr:colOff>
      <xdr:row>18</xdr:row>
      <xdr:rowOff>503465</xdr:rowOff>
    </xdr:to>
    <xdr:pic>
      <xdr:nvPicPr>
        <xdr:cNvPr id="984" name="Рисунок 983">
          <a:extLst>
            <a:ext uri="{FF2B5EF4-FFF2-40B4-BE49-F238E27FC236}">
              <a16:creationId xmlns:a16="http://schemas.microsoft.com/office/drawing/2014/main" xmlns="" id="{00000000-0008-0000-0100-0000D8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38" b="8334"/>
        <a:stretch/>
      </xdr:blipFill>
      <xdr:spPr>
        <a:xfrm>
          <a:off x="990599" y="411663282"/>
          <a:ext cx="517071" cy="434483"/>
        </a:xfrm>
        <a:prstGeom prst="rect">
          <a:avLst/>
        </a:prstGeom>
      </xdr:spPr>
    </xdr:pic>
    <xdr:clientData/>
  </xdr:twoCellAnchor>
  <xdr:twoCellAnchor>
    <xdr:from>
      <xdr:col>0</xdr:col>
      <xdr:colOff>27213</xdr:colOff>
      <xdr:row>21</xdr:row>
      <xdr:rowOff>40821</xdr:rowOff>
    </xdr:from>
    <xdr:to>
      <xdr:col>0</xdr:col>
      <xdr:colOff>826888</xdr:colOff>
      <xdr:row>21</xdr:row>
      <xdr:rowOff>489857</xdr:rowOff>
    </xdr:to>
    <xdr:pic>
      <xdr:nvPicPr>
        <xdr:cNvPr id="985" name="Рисунок 984">
          <a:extLst>
            <a:ext uri="{FF2B5EF4-FFF2-40B4-BE49-F238E27FC236}">
              <a16:creationId xmlns:a16="http://schemas.microsoft.com/office/drawing/2014/main" xmlns="" id="{00000000-0008-0000-01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563" y="413349621"/>
          <a:ext cx="799675" cy="449036"/>
        </a:xfrm>
        <a:prstGeom prst="rect">
          <a:avLst/>
        </a:prstGeom>
      </xdr:spPr>
    </xdr:pic>
    <xdr:clientData/>
  </xdr:twoCellAnchor>
  <xdr:twoCellAnchor>
    <xdr:from>
      <xdr:col>0</xdr:col>
      <xdr:colOff>52918</xdr:colOff>
      <xdr:row>32</xdr:row>
      <xdr:rowOff>730250</xdr:rowOff>
    </xdr:from>
    <xdr:to>
      <xdr:col>1</xdr:col>
      <xdr:colOff>598</xdr:colOff>
      <xdr:row>32</xdr:row>
      <xdr:rowOff>1037166</xdr:rowOff>
    </xdr:to>
    <xdr:pic>
      <xdr:nvPicPr>
        <xdr:cNvPr id="986" name="Рисунок 985">
          <a:extLst>
            <a:ext uri="{FF2B5EF4-FFF2-40B4-BE49-F238E27FC236}">
              <a16:creationId xmlns:a16="http://schemas.microsoft.com/office/drawing/2014/main" xmlns="" id="{00000000-0008-0000-0100-0000D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66" t="29604" r="17490" b="27408"/>
        <a:stretch/>
      </xdr:blipFill>
      <xdr:spPr>
        <a:xfrm>
          <a:off x="948268" y="422135300"/>
          <a:ext cx="804930" cy="2116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28</xdr:row>
      <xdr:rowOff>142874</xdr:rowOff>
    </xdr:from>
    <xdr:to>
      <xdr:col>0</xdr:col>
      <xdr:colOff>851295</xdr:colOff>
      <xdr:row>28</xdr:row>
      <xdr:rowOff>505586</xdr:rowOff>
    </xdr:to>
    <xdr:pic>
      <xdr:nvPicPr>
        <xdr:cNvPr id="988" name="Рисунок 987">
          <a:extLst>
            <a:ext uri="{FF2B5EF4-FFF2-40B4-BE49-F238E27FC236}">
              <a16:creationId xmlns:a16="http://schemas.microsoft.com/office/drawing/2014/main" xmlns="" id="{00000000-0008-0000-01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14366874"/>
          <a:ext cx="832244" cy="36271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</xdr:row>
      <xdr:rowOff>47624</xdr:rowOff>
    </xdr:from>
    <xdr:to>
      <xdr:col>0</xdr:col>
      <xdr:colOff>844292</xdr:colOff>
      <xdr:row>32</xdr:row>
      <xdr:rowOff>511307</xdr:rowOff>
    </xdr:to>
    <xdr:pic>
      <xdr:nvPicPr>
        <xdr:cNvPr id="989" name="Рисунок 988">
          <a:extLst>
            <a:ext uri="{FF2B5EF4-FFF2-40B4-BE49-F238E27FC236}">
              <a16:creationId xmlns:a16="http://schemas.microsoft.com/office/drawing/2014/main" xmlns="" id="{00000000-0008-0000-01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421633649"/>
          <a:ext cx="825242" cy="463683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33</xdr:row>
      <xdr:rowOff>57150</xdr:rowOff>
    </xdr:from>
    <xdr:to>
      <xdr:col>0</xdr:col>
      <xdr:colOff>839586</xdr:colOff>
      <xdr:row>33</xdr:row>
      <xdr:rowOff>571500</xdr:rowOff>
    </xdr:to>
    <xdr:pic>
      <xdr:nvPicPr>
        <xdr:cNvPr id="990" name="Рисунок 989">
          <a:extLst>
            <a:ext uri="{FF2B5EF4-FFF2-40B4-BE49-F238E27FC236}">
              <a16:creationId xmlns:a16="http://schemas.microsoft.com/office/drawing/2014/main" xmlns="" id="{00000000-0008-0000-01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422195625"/>
          <a:ext cx="830061" cy="514350"/>
        </a:xfrm>
        <a:prstGeom prst="rect">
          <a:avLst/>
        </a:prstGeom>
      </xdr:spPr>
    </xdr:pic>
    <xdr:clientData/>
  </xdr:twoCellAnchor>
  <xdr:twoCellAnchor>
    <xdr:from>
      <xdr:col>0</xdr:col>
      <xdr:colOff>48747</xdr:colOff>
      <xdr:row>22</xdr:row>
      <xdr:rowOff>147224</xdr:rowOff>
    </xdr:from>
    <xdr:to>
      <xdr:col>0</xdr:col>
      <xdr:colOff>472045</xdr:colOff>
      <xdr:row>23</xdr:row>
      <xdr:rowOff>487907</xdr:rowOff>
    </xdr:to>
    <xdr:pic>
      <xdr:nvPicPr>
        <xdr:cNvPr id="991" name="Рисунок 990">
          <a:extLst>
            <a:ext uri="{FF2B5EF4-FFF2-40B4-BE49-F238E27FC236}">
              <a16:creationId xmlns:a16="http://schemas.microsoft.com/office/drawing/2014/main" xmlns="" id="{00000000-0008-0000-0100-0000DF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65" r="37256"/>
        <a:stretch/>
      </xdr:blipFill>
      <xdr:spPr>
        <a:xfrm>
          <a:off x="944097" y="414027524"/>
          <a:ext cx="423298" cy="912183"/>
        </a:xfrm>
        <a:prstGeom prst="rect">
          <a:avLst/>
        </a:prstGeom>
      </xdr:spPr>
    </xdr:pic>
    <xdr:clientData/>
  </xdr:twoCellAnchor>
  <xdr:twoCellAnchor>
    <xdr:from>
      <xdr:col>0</xdr:col>
      <xdr:colOff>364752</xdr:colOff>
      <xdr:row>22</xdr:row>
      <xdr:rowOff>122677</xdr:rowOff>
    </xdr:from>
    <xdr:to>
      <xdr:col>1</xdr:col>
      <xdr:colOff>3671</xdr:colOff>
      <xdr:row>23</xdr:row>
      <xdr:rowOff>549086</xdr:rowOff>
    </xdr:to>
    <xdr:pic>
      <xdr:nvPicPr>
        <xdr:cNvPr id="992" name="Рисунок 991">
          <a:extLst>
            <a:ext uri="{FF2B5EF4-FFF2-40B4-BE49-F238E27FC236}">
              <a16:creationId xmlns:a16="http://schemas.microsoft.com/office/drawing/2014/main" xmlns="" id="{00000000-0008-0000-0100-0000E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12" r="38233"/>
        <a:stretch/>
      </xdr:blipFill>
      <xdr:spPr>
        <a:xfrm>
          <a:off x="1260102" y="414002977"/>
          <a:ext cx="496169" cy="9979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455083</xdr:rowOff>
    </xdr:from>
    <xdr:to>
      <xdr:col>1</xdr:col>
      <xdr:colOff>29698</xdr:colOff>
      <xdr:row>30</xdr:row>
      <xdr:rowOff>502442</xdr:rowOff>
    </xdr:to>
    <xdr:pic>
      <xdr:nvPicPr>
        <xdr:cNvPr id="993" name="Рисунок 992">
          <a:extLst>
            <a:ext uri="{FF2B5EF4-FFF2-40B4-BE49-F238E27FC236}">
              <a16:creationId xmlns:a16="http://schemas.microsoft.com/office/drawing/2014/main" xmlns="" id="{00000000-0008-0000-0100-0000E1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1" t="16403" r="11499" b="15695"/>
        <a:stretch/>
      </xdr:blipFill>
      <xdr:spPr>
        <a:xfrm>
          <a:off x="0" y="15187083"/>
          <a:ext cx="886948" cy="55535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423333</xdr:rowOff>
    </xdr:from>
    <xdr:to>
      <xdr:col>1</xdr:col>
      <xdr:colOff>29698</xdr:colOff>
      <xdr:row>31</xdr:row>
      <xdr:rowOff>504823</xdr:rowOff>
    </xdr:to>
    <xdr:pic>
      <xdr:nvPicPr>
        <xdr:cNvPr id="994" name="Рисунок 993">
          <a:extLst>
            <a:ext uri="{FF2B5EF4-FFF2-40B4-BE49-F238E27FC236}">
              <a16:creationId xmlns:a16="http://schemas.microsoft.com/office/drawing/2014/main" xmlns="" id="{00000000-0008-0000-0100-0000E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1" t="16403" r="11499" b="15695"/>
        <a:stretch/>
      </xdr:blipFill>
      <xdr:spPr>
        <a:xfrm>
          <a:off x="0" y="15663333"/>
          <a:ext cx="886948" cy="5894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9525</xdr:rowOff>
    </xdr:from>
    <xdr:to>
      <xdr:col>1</xdr:col>
      <xdr:colOff>138966</xdr:colOff>
      <xdr:row>5</xdr:row>
      <xdr:rowOff>502443</xdr:rowOff>
    </xdr:to>
    <xdr:pic>
      <xdr:nvPicPr>
        <xdr:cNvPr id="995" name="Рисунок 994">
          <a:extLst>
            <a:ext uri="{FF2B5EF4-FFF2-40B4-BE49-F238E27FC236}">
              <a16:creationId xmlns:a16="http://schemas.microsoft.com/office/drawing/2014/main" xmlns="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9525"/>
          <a:ext cx="996216" cy="492918"/>
        </a:xfrm>
        <a:prstGeom prst="rect">
          <a:avLst/>
        </a:prstGeom>
      </xdr:spPr>
    </xdr:pic>
    <xdr:clientData/>
  </xdr:twoCellAnchor>
  <xdr:twoCellAnchor>
    <xdr:from>
      <xdr:col>0</xdr:col>
      <xdr:colOff>5440</xdr:colOff>
      <xdr:row>11</xdr:row>
      <xdr:rowOff>48985</xdr:rowOff>
    </xdr:from>
    <xdr:to>
      <xdr:col>0</xdr:col>
      <xdr:colOff>849083</xdr:colOff>
      <xdr:row>11</xdr:row>
      <xdr:rowOff>506185</xdr:rowOff>
    </xdr:to>
    <xdr:pic>
      <xdr:nvPicPr>
        <xdr:cNvPr id="996" name="Рисунок 995">
          <a:extLst>
            <a:ext uri="{FF2B5EF4-FFF2-40B4-BE49-F238E27FC236}">
              <a16:creationId xmlns:a16="http://schemas.microsoft.com/office/drawing/2014/main" xmlns="" id="{00000000-0008-0000-0100-0000E4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57" t="23153" r="8810" b="21675"/>
        <a:stretch/>
      </xdr:blipFill>
      <xdr:spPr>
        <a:xfrm>
          <a:off x="900790" y="407642785"/>
          <a:ext cx="843643" cy="457200"/>
        </a:xfrm>
        <a:prstGeom prst="rect">
          <a:avLst/>
        </a:prstGeom>
      </xdr:spPr>
    </xdr:pic>
    <xdr:clientData/>
  </xdr:twoCellAnchor>
  <xdr:twoCellAnchor>
    <xdr:from>
      <xdr:col>0</xdr:col>
      <xdr:colOff>95951</xdr:colOff>
      <xdr:row>6</xdr:row>
      <xdr:rowOff>558893</xdr:rowOff>
    </xdr:from>
    <xdr:to>
      <xdr:col>0</xdr:col>
      <xdr:colOff>797595</xdr:colOff>
      <xdr:row>7</xdr:row>
      <xdr:rowOff>548708</xdr:rowOff>
    </xdr:to>
    <xdr:pic>
      <xdr:nvPicPr>
        <xdr:cNvPr id="997" name="Рисунок 996">
          <a:extLst>
            <a:ext uri="{FF2B5EF4-FFF2-40B4-BE49-F238E27FC236}">
              <a16:creationId xmlns:a16="http://schemas.microsoft.com/office/drawing/2014/main" xmlns="" id="{00000000-0008-0000-01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301" y="405295193"/>
          <a:ext cx="701644" cy="561315"/>
        </a:xfrm>
        <a:prstGeom prst="rect">
          <a:avLst/>
        </a:prstGeom>
      </xdr:spPr>
    </xdr:pic>
    <xdr:clientData/>
  </xdr:twoCellAnchor>
  <xdr:twoCellAnchor>
    <xdr:from>
      <xdr:col>0</xdr:col>
      <xdr:colOff>71437</xdr:colOff>
      <xdr:row>5</xdr:row>
      <xdr:rowOff>547687</xdr:rowOff>
    </xdr:from>
    <xdr:to>
      <xdr:col>1</xdr:col>
      <xdr:colOff>15601</xdr:colOff>
      <xdr:row>6</xdr:row>
      <xdr:rowOff>547687</xdr:rowOff>
    </xdr:to>
    <xdr:pic>
      <xdr:nvPicPr>
        <xdr:cNvPr id="998" name="Рисунок 997">
          <a:extLst>
            <a:ext uri="{FF2B5EF4-FFF2-40B4-BE49-F238E27FC236}">
              <a16:creationId xmlns:a16="http://schemas.microsoft.com/office/drawing/2014/main" xmlns="" id="{00000000-0008-0000-0100-0000E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63" t="10850" r="20167" b="13629"/>
        <a:stretch/>
      </xdr:blipFill>
      <xdr:spPr>
        <a:xfrm>
          <a:off x="966787" y="404712487"/>
          <a:ext cx="801414" cy="571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552278</xdr:rowOff>
    </xdr:from>
    <xdr:to>
      <xdr:col>0</xdr:col>
      <xdr:colOff>857249</xdr:colOff>
      <xdr:row>15</xdr:row>
      <xdr:rowOff>25440</xdr:rowOff>
    </xdr:to>
    <xdr:pic>
      <xdr:nvPicPr>
        <xdr:cNvPr id="999" name="Рисунок 998">
          <a:extLst>
            <a:ext uri="{FF2B5EF4-FFF2-40B4-BE49-F238E27FC236}">
              <a16:creationId xmlns:a16="http://schemas.microsoft.com/office/drawing/2014/main" xmlns="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409289078"/>
          <a:ext cx="857249" cy="616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12014</xdr:rowOff>
    </xdr:from>
    <xdr:to>
      <xdr:col>0</xdr:col>
      <xdr:colOff>857249</xdr:colOff>
      <xdr:row>17</xdr:row>
      <xdr:rowOff>0</xdr:rowOff>
    </xdr:to>
    <xdr:pic>
      <xdr:nvPicPr>
        <xdr:cNvPr id="1000" name="Рисунок 999">
          <a:extLst>
            <a:ext uri="{FF2B5EF4-FFF2-40B4-BE49-F238E27FC236}">
              <a16:creationId xmlns:a16="http://schemas.microsoft.com/office/drawing/2014/main" xmlns="" id="{00000000-0008-0000-01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410463314"/>
          <a:ext cx="857249" cy="559486"/>
        </a:xfrm>
        <a:prstGeom prst="rect">
          <a:avLst/>
        </a:prstGeom>
      </xdr:spPr>
    </xdr:pic>
    <xdr:clientData/>
  </xdr:twoCellAnchor>
  <xdr:twoCellAnchor>
    <xdr:from>
      <xdr:col>0</xdr:col>
      <xdr:colOff>5440</xdr:colOff>
      <xdr:row>13</xdr:row>
      <xdr:rowOff>54428</xdr:rowOff>
    </xdr:from>
    <xdr:to>
      <xdr:col>0</xdr:col>
      <xdr:colOff>849083</xdr:colOff>
      <xdr:row>13</xdr:row>
      <xdr:rowOff>511628</xdr:rowOff>
    </xdr:to>
    <xdr:pic>
      <xdr:nvPicPr>
        <xdr:cNvPr id="1001" name="Рисунок 1000">
          <a:extLst>
            <a:ext uri="{FF2B5EF4-FFF2-40B4-BE49-F238E27FC236}">
              <a16:creationId xmlns:a16="http://schemas.microsoft.com/office/drawing/2014/main" xmlns="" id="{00000000-0008-0000-0100-0000E9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57" t="23153" r="8810" b="21675"/>
        <a:stretch/>
      </xdr:blipFill>
      <xdr:spPr>
        <a:xfrm>
          <a:off x="900790" y="408791228"/>
          <a:ext cx="843643" cy="457200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15</xdr:row>
      <xdr:rowOff>76520</xdr:rowOff>
    </xdr:from>
    <xdr:to>
      <xdr:col>1</xdr:col>
      <xdr:colOff>3202</xdr:colOff>
      <xdr:row>15</xdr:row>
      <xdr:rowOff>533720</xdr:rowOff>
    </xdr:to>
    <xdr:pic>
      <xdr:nvPicPr>
        <xdr:cNvPr id="1002" name="Рисунок 1001">
          <a:extLst>
            <a:ext uri="{FF2B5EF4-FFF2-40B4-BE49-F238E27FC236}">
              <a16:creationId xmlns:a16="http://schemas.microsoft.com/office/drawing/2014/main" xmlns="" id="{00000000-0008-0000-0100-0000EA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57" t="23153" r="8810" b="21675"/>
        <a:stretch/>
      </xdr:blipFill>
      <xdr:spPr>
        <a:xfrm>
          <a:off x="917762" y="409956320"/>
          <a:ext cx="838040" cy="457200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17</xdr:row>
      <xdr:rowOff>42334</xdr:rowOff>
    </xdr:from>
    <xdr:to>
      <xdr:col>0</xdr:col>
      <xdr:colOff>822854</xdr:colOff>
      <xdr:row>17</xdr:row>
      <xdr:rowOff>522156</xdr:rowOff>
    </xdr:to>
    <xdr:pic>
      <xdr:nvPicPr>
        <xdr:cNvPr id="1003" name="Рисунок 1002">
          <a:extLst>
            <a:ext uri="{FF2B5EF4-FFF2-40B4-BE49-F238E27FC236}">
              <a16:creationId xmlns:a16="http://schemas.microsoft.com/office/drawing/2014/main" xmlns="" id="{00000000-0008-0000-0100-0000E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55" t="23174" r="10393" b="12921"/>
        <a:stretch/>
      </xdr:blipFill>
      <xdr:spPr>
        <a:xfrm>
          <a:off x="980016" y="411065134"/>
          <a:ext cx="738188" cy="479822"/>
        </a:xfrm>
        <a:prstGeom prst="rect">
          <a:avLst/>
        </a:prstGeom>
      </xdr:spPr>
    </xdr:pic>
    <xdr:clientData/>
  </xdr:twoCellAnchor>
  <xdr:twoCellAnchor>
    <xdr:from>
      <xdr:col>0</xdr:col>
      <xdr:colOff>84666</xdr:colOff>
      <xdr:row>19</xdr:row>
      <xdr:rowOff>21167</xdr:rowOff>
    </xdr:from>
    <xdr:to>
      <xdr:col>0</xdr:col>
      <xdr:colOff>701823</xdr:colOff>
      <xdr:row>19</xdr:row>
      <xdr:rowOff>539750</xdr:rowOff>
    </xdr:to>
    <xdr:pic>
      <xdr:nvPicPr>
        <xdr:cNvPr id="1004" name="Рисунок 1003">
          <a:extLst>
            <a:ext uri="{FF2B5EF4-FFF2-40B4-BE49-F238E27FC236}">
              <a16:creationId xmlns:a16="http://schemas.microsoft.com/office/drawing/2014/main" xmlns="" id="{00000000-0008-0000-0100-0000EC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38" b="8334"/>
        <a:stretch/>
      </xdr:blipFill>
      <xdr:spPr>
        <a:xfrm>
          <a:off x="980016" y="412186967"/>
          <a:ext cx="617157" cy="518583"/>
        </a:xfrm>
        <a:prstGeom prst="rect">
          <a:avLst/>
        </a:prstGeom>
      </xdr:spPr>
    </xdr:pic>
    <xdr:clientData/>
  </xdr:twoCellAnchor>
  <xdr:twoCellAnchor>
    <xdr:from>
      <xdr:col>0</xdr:col>
      <xdr:colOff>156883</xdr:colOff>
      <xdr:row>2</xdr:row>
      <xdr:rowOff>100852</xdr:rowOff>
    </xdr:from>
    <xdr:to>
      <xdr:col>0</xdr:col>
      <xdr:colOff>705030</xdr:colOff>
      <xdr:row>2</xdr:row>
      <xdr:rowOff>504264</xdr:rowOff>
    </xdr:to>
    <xdr:pic>
      <xdr:nvPicPr>
        <xdr:cNvPr id="1005" name="Рисунок 1004">
          <a:extLst>
            <a:ext uri="{FF2B5EF4-FFF2-40B4-BE49-F238E27FC236}">
              <a16:creationId xmlns:a16="http://schemas.microsoft.com/office/drawing/2014/main" xmlns="" id="{00000000-0008-0000-0100-0000ED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33" t="16755" r="18859" b="20534"/>
        <a:stretch/>
      </xdr:blipFill>
      <xdr:spPr>
        <a:xfrm>
          <a:off x="1052233" y="402551152"/>
          <a:ext cx="548147" cy="40341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</xdr:row>
      <xdr:rowOff>11906</xdr:rowOff>
    </xdr:from>
    <xdr:to>
      <xdr:col>0</xdr:col>
      <xdr:colOff>849039</xdr:colOff>
      <xdr:row>5</xdr:row>
      <xdr:rowOff>11906</xdr:rowOff>
    </xdr:to>
    <xdr:pic>
      <xdr:nvPicPr>
        <xdr:cNvPr id="1008" name="Рисунок 1007">
          <a:extLst>
            <a:ext uri="{FF2B5EF4-FFF2-40B4-BE49-F238E27FC236}">
              <a16:creationId xmlns:a16="http://schemas.microsoft.com/office/drawing/2014/main" xmlns="" id="{00000000-0008-0000-0100-0000F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63" t="10850" r="20167" b="13629"/>
        <a:stretch/>
      </xdr:blipFill>
      <xdr:spPr>
        <a:xfrm>
          <a:off x="942975" y="403605206"/>
          <a:ext cx="801414" cy="571500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9</xdr:row>
      <xdr:rowOff>0</xdr:rowOff>
    </xdr:from>
    <xdr:to>
      <xdr:col>0</xdr:col>
      <xdr:colOff>780085</xdr:colOff>
      <xdr:row>9</xdr:row>
      <xdr:rowOff>561315</xdr:rowOff>
    </xdr:to>
    <xdr:pic>
      <xdr:nvPicPr>
        <xdr:cNvPr id="1009" name="Рисунок 1008">
          <a:extLst>
            <a:ext uri="{FF2B5EF4-FFF2-40B4-BE49-F238E27FC236}">
              <a16:creationId xmlns:a16="http://schemas.microsoft.com/office/drawing/2014/main" xmlns="" id="{00000000-0008-0000-01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791" y="406450800"/>
          <a:ext cx="701644" cy="561315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10</xdr:row>
      <xdr:rowOff>0</xdr:rowOff>
    </xdr:from>
    <xdr:to>
      <xdr:col>0</xdr:col>
      <xdr:colOff>857443</xdr:colOff>
      <xdr:row>11</xdr:row>
      <xdr:rowOff>0</xdr:rowOff>
    </xdr:to>
    <xdr:pic>
      <xdr:nvPicPr>
        <xdr:cNvPr id="1010" name="Рисунок 1009">
          <a:extLst>
            <a:ext uri="{FF2B5EF4-FFF2-40B4-BE49-F238E27FC236}">
              <a16:creationId xmlns:a16="http://schemas.microsoft.com/office/drawing/2014/main" xmlns="" id="{00000000-0008-0000-0100-0000F2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63" t="10850" r="20167" b="13629"/>
        <a:stretch/>
      </xdr:blipFill>
      <xdr:spPr>
        <a:xfrm>
          <a:off x="951379" y="407022300"/>
          <a:ext cx="801414" cy="571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857249</xdr:colOff>
      <xdr:row>13</xdr:row>
      <xdr:rowOff>44662</xdr:rowOff>
    </xdr:to>
    <xdr:pic>
      <xdr:nvPicPr>
        <xdr:cNvPr id="1011" name="Рисунок 1010">
          <a:extLst>
            <a:ext uri="{FF2B5EF4-FFF2-40B4-BE49-F238E27FC236}">
              <a16:creationId xmlns:a16="http://schemas.microsoft.com/office/drawing/2014/main" xmlns="" id="{00000000-0008-0000-01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408165300"/>
          <a:ext cx="857249" cy="616162"/>
        </a:xfrm>
        <a:prstGeom prst="rect">
          <a:avLst/>
        </a:prstGeom>
      </xdr:spPr>
    </xdr:pic>
    <xdr:clientData/>
  </xdr:twoCellAnchor>
  <xdr:twoCellAnchor>
    <xdr:from>
      <xdr:col>0</xdr:col>
      <xdr:colOff>40341</xdr:colOff>
      <xdr:row>8</xdr:row>
      <xdr:rowOff>17929</xdr:rowOff>
    </xdr:from>
    <xdr:to>
      <xdr:col>0</xdr:col>
      <xdr:colOff>841755</xdr:colOff>
      <xdr:row>9</xdr:row>
      <xdr:rowOff>17929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xmlns="" id="{00000000-0008-0000-0100-0000F4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63" t="10850" r="20167" b="13629"/>
        <a:stretch/>
      </xdr:blipFill>
      <xdr:spPr>
        <a:xfrm>
          <a:off x="935691" y="405897229"/>
          <a:ext cx="801414" cy="571500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26</xdr:row>
      <xdr:rowOff>109124</xdr:rowOff>
    </xdr:from>
    <xdr:to>
      <xdr:col>0</xdr:col>
      <xdr:colOff>489974</xdr:colOff>
      <xdr:row>27</xdr:row>
      <xdr:rowOff>449807</xdr:rowOff>
    </xdr:to>
    <xdr:pic>
      <xdr:nvPicPr>
        <xdr:cNvPr id="1013" name="Рисунок 1012">
          <a:extLst>
            <a:ext uri="{FF2B5EF4-FFF2-40B4-BE49-F238E27FC236}">
              <a16:creationId xmlns:a16="http://schemas.microsoft.com/office/drawing/2014/main" xmlns="" id="{00000000-0008-0000-0100-0000F5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65" r="37256"/>
        <a:stretch/>
      </xdr:blipFill>
      <xdr:spPr>
        <a:xfrm>
          <a:off x="962026" y="416275424"/>
          <a:ext cx="423298" cy="912183"/>
        </a:xfrm>
        <a:prstGeom prst="rect">
          <a:avLst/>
        </a:prstGeom>
      </xdr:spPr>
    </xdr:pic>
    <xdr:clientData/>
  </xdr:twoCellAnchor>
  <xdr:twoCellAnchor>
    <xdr:from>
      <xdr:col>0</xdr:col>
      <xdr:colOff>371476</xdr:colOff>
      <xdr:row>26</xdr:row>
      <xdr:rowOff>84578</xdr:rowOff>
    </xdr:from>
    <xdr:to>
      <xdr:col>1</xdr:col>
      <xdr:colOff>10395</xdr:colOff>
      <xdr:row>27</xdr:row>
      <xdr:rowOff>510987</xdr:rowOff>
    </xdr:to>
    <xdr:pic>
      <xdr:nvPicPr>
        <xdr:cNvPr id="1014" name="Рисунок 1013">
          <a:extLst>
            <a:ext uri="{FF2B5EF4-FFF2-40B4-BE49-F238E27FC236}">
              <a16:creationId xmlns:a16="http://schemas.microsoft.com/office/drawing/2014/main" xmlns="" id="{00000000-0008-0000-0100-0000F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12" r="38233"/>
        <a:stretch/>
      </xdr:blipFill>
      <xdr:spPr>
        <a:xfrm>
          <a:off x="1266826" y="416250878"/>
          <a:ext cx="496169" cy="997909"/>
        </a:xfrm>
        <a:prstGeom prst="rect">
          <a:avLst/>
        </a:prstGeom>
      </xdr:spPr>
    </xdr:pic>
    <xdr:clientData/>
  </xdr:twoCellAnchor>
  <xdr:twoCellAnchor>
    <xdr:from>
      <xdr:col>0</xdr:col>
      <xdr:colOff>55471</xdr:colOff>
      <xdr:row>24</xdr:row>
      <xdr:rowOff>53095</xdr:rowOff>
    </xdr:from>
    <xdr:to>
      <xdr:col>0</xdr:col>
      <xdr:colOff>478769</xdr:colOff>
      <xdr:row>25</xdr:row>
      <xdr:rowOff>393778</xdr:rowOff>
    </xdr:to>
    <xdr:pic>
      <xdr:nvPicPr>
        <xdr:cNvPr id="1015" name="Рисунок 1014">
          <a:extLst>
            <a:ext uri="{FF2B5EF4-FFF2-40B4-BE49-F238E27FC236}">
              <a16:creationId xmlns:a16="http://schemas.microsoft.com/office/drawing/2014/main" xmlns="" id="{00000000-0008-0000-0100-0000F7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65" r="37256"/>
        <a:stretch/>
      </xdr:blipFill>
      <xdr:spPr>
        <a:xfrm>
          <a:off x="950821" y="415076395"/>
          <a:ext cx="423298" cy="912183"/>
        </a:xfrm>
        <a:prstGeom prst="rect">
          <a:avLst/>
        </a:prstGeom>
      </xdr:spPr>
    </xdr:pic>
    <xdr:clientData/>
  </xdr:twoCellAnchor>
  <xdr:twoCellAnchor>
    <xdr:from>
      <xdr:col>0</xdr:col>
      <xdr:colOff>371476</xdr:colOff>
      <xdr:row>24</xdr:row>
      <xdr:rowOff>28548</xdr:rowOff>
    </xdr:from>
    <xdr:to>
      <xdr:col>1</xdr:col>
      <xdr:colOff>10395</xdr:colOff>
      <xdr:row>25</xdr:row>
      <xdr:rowOff>454957</xdr:rowOff>
    </xdr:to>
    <xdr:pic>
      <xdr:nvPicPr>
        <xdr:cNvPr id="1016" name="Рисунок 1015">
          <a:extLst>
            <a:ext uri="{FF2B5EF4-FFF2-40B4-BE49-F238E27FC236}">
              <a16:creationId xmlns:a16="http://schemas.microsoft.com/office/drawing/2014/main" xmlns="" id="{00000000-0008-0000-0100-0000F8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12" r="38233"/>
        <a:stretch/>
      </xdr:blipFill>
      <xdr:spPr>
        <a:xfrm>
          <a:off x="1266826" y="415051848"/>
          <a:ext cx="496169" cy="997909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793</xdr:row>
      <xdr:rowOff>441325</xdr:rowOff>
    </xdr:from>
    <xdr:to>
      <xdr:col>1</xdr:col>
      <xdr:colOff>1034316</xdr:colOff>
      <xdr:row>794</xdr:row>
      <xdr:rowOff>426243</xdr:rowOff>
    </xdr:to>
    <xdr:pic>
      <xdr:nvPicPr>
        <xdr:cNvPr id="1017" name="Рисунок 1016">
          <a:extLst>
            <a:ext uri="{FF2B5EF4-FFF2-40B4-BE49-F238E27FC236}">
              <a16:creationId xmlns:a16="http://schemas.microsoft.com/office/drawing/2014/main" xmlns="" id="{00000000-0008-0000-01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404174325"/>
          <a:ext cx="996216" cy="49291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45509</xdr:rowOff>
    </xdr:from>
    <xdr:to>
      <xdr:col>1</xdr:col>
      <xdr:colOff>138966</xdr:colOff>
      <xdr:row>4</xdr:row>
      <xdr:rowOff>30427</xdr:rowOff>
    </xdr:to>
    <xdr:pic>
      <xdr:nvPicPr>
        <xdr:cNvPr id="1018" name="Рисунок 1017">
          <a:extLst>
            <a:ext uri="{FF2B5EF4-FFF2-40B4-BE49-F238E27FC236}">
              <a16:creationId xmlns:a16="http://schemas.microsoft.com/office/drawing/2014/main" xmlns="" id="{00000000-0008-0000-01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9509"/>
          <a:ext cx="996216" cy="492918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820</xdr:row>
      <xdr:rowOff>3174</xdr:rowOff>
    </xdr:from>
    <xdr:to>
      <xdr:col>1</xdr:col>
      <xdr:colOff>889395</xdr:colOff>
      <xdr:row>820</xdr:row>
      <xdr:rowOff>365886</xdr:rowOff>
    </xdr:to>
    <xdr:pic>
      <xdr:nvPicPr>
        <xdr:cNvPr id="1019" name="Рисунок 1018">
          <a:extLst>
            <a:ext uri="{FF2B5EF4-FFF2-40B4-BE49-F238E27FC236}">
              <a16:creationId xmlns:a16="http://schemas.microsoft.com/office/drawing/2014/main" xmlns="" id="{00000000-0008-0000-01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417452174"/>
          <a:ext cx="832244" cy="3627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</xdr:row>
      <xdr:rowOff>83608</xdr:rowOff>
    </xdr:from>
    <xdr:to>
      <xdr:col>0</xdr:col>
      <xdr:colOff>832244</xdr:colOff>
      <xdr:row>29</xdr:row>
      <xdr:rowOff>446320</xdr:rowOff>
    </xdr:to>
    <xdr:pic>
      <xdr:nvPicPr>
        <xdr:cNvPr id="1020" name="Рисунок 1019">
          <a:extLst>
            <a:ext uri="{FF2B5EF4-FFF2-40B4-BE49-F238E27FC236}">
              <a16:creationId xmlns:a16="http://schemas.microsoft.com/office/drawing/2014/main" xmlns="" id="{00000000-0008-0000-01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815608"/>
          <a:ext cx="832244" cy="3627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3</xdr:row>
      <xdr:rowOff>190498</xdr:rowOff>
    </xdr:from>
    <xdr:to>
      <xdr:col>0</xdr:col>
      <xdr:colOff>962025</xdr:colOff>
      <xdr:row>15</xdr:row>
      <xdr:rowOff>38707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085848"/>
          <a:ext cx="933450" cy="2134209"/>
        </a:xfrm>
        <a:prstGeom prst="rect">
          <a:avLst/>
        </a:prstGeom>
      </xdr:spPr>
    </xdr:pic>
    <xdr:clientData/>
  </xdr:twoCellAnchor>
  <xdr:twoCellAnchor>
    <xdr:from>
      <xdr:col>0</xdr:col>
      <xdr:colOff>79757</xdr:colOff>
      <xdr:row>17</xdr:row>
      <xdr:rowOff>114298</xdr:rowOff>
    </xdr:from>
    <xdr:to>
      <xdr:col>0</xdr:col>
      <xdr:colOff>942975</xdr:colOff>
      <xdr:row>29</xdr:row>
      <xdr:rowOff>151529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57" y="4293392"/>
          <a:ext cx="863218" cy="2323231"/>
        </a:xfrm>
        <a:prstGeom prst="rect">
          <a:avLst/>
        </a:prstGeom>
      </xdr:spPr>
    </xdr:pic>
    <xdr:clientData/>
  </xdr:twoCellAnchor>
  <xdr:twoCellAnchor>
    <xdr:from>
      <xdr:col>0</xdr:col>
      <xdr:colOff>306917</xdr:colOff>
      <xdr:row>31</xdr:row>
      <xdr:rowOff>42333</xdr:rowOff>
    </xdr:from>
    <xdr:to>
      <xdr:col>0</xdr:col>
      <xdr:colOff>645583</xdr:colOff>
      <xdr:row>38</xdr:row>
      <xdr:rowOff>139176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917" y="6888427"/>
          <a:ext cx="338666" cy="14303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1847850</xdr:colOff>
      <xdr:row>0</xdr:row>
      <xdr:rowOff>47625</xdr:rowOff>
    </xdr:from>
    <xdr:to>
      <xdr:col>2</xdr:col>
      <xdr:colOff>2568613</xdr:colOff>
      <xdr:row>2</xdr:row>
      <xdr:rowOff>62865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50" y="47625"/>
          <a:ext cx="720763" cy="3962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1438275</xdr:colOff>
      <xdr:row>0</xdr:row>
      <xdr:rowOff>57150</xdr:rowOff>
    </xdr:from>
    <xdr:to>
      <xdr:col>2</xdr:col>
      <xdr:colOff>2159038</xdr:colOff>
      <xdr:row>2</xdr:row>
      <xdr:rowOff>72390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1475" y="57150"/>
          <a:ext cx="720763" cy="3962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156301</xdr:colOff>
      <xdr:row>6</xdr:row>
      <xdr:rowOff>37729</xdr:rowOff>
    </xdr:from>
    <xdr:to>
      <xdr:col>7</xdr:col>
      <xdr:colOff>793169</xdr:colOff>
      <xdr:row>7</xdr:row>
      <xdr:rowOff>178377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9276" y="1180729"/>
          <a:ext cx="636868" cy="331148"/>
        </a:xfrm>
        <a:prstGeom prst="rect">
          <a:avLst/>
        </a:prstGeom>
      </xdr:spPr>
    </xdr:pic>
    <xdr:clientData/>
  </xdr:twoCellAnchor>
  <xdr:twoCellAnchor editAs="oneCell">
    <xdr:from>
      <xdr:col>7</xdr:col>
      <xdr:colOff>434034</xdr:colOff>
      <xdr:row>15</xdr:row>
      <xdr:rowOff>19159</xdr:rowOff>
    </xdr:from>
    <xdr:to>
      <xdr:col>7</xdr:col>
      <xdr:colOff>834470</xdr:colOff>
      <xdr:row>16</xdr:row>
      <xdr:rowOff>180174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9834" y="2305159"/>
          <a:ext cx="400436" cy="3515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724461</xdr:colOff>
      <xdr:row>1</xdr:row>
      <xdr:rowOff>19051</xdr:rowOff>
    </xdr:from>
    <xdr:to>
      <xdr:col>0</xdr:col>
      <xdr:colOff>1386625</xdr:colOff>
      <xdr:row>1</xdr:row>
      <xdr:rowOff>495300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9656832A-EBA6-45EE-89BD-32BB41DCE8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724461" y="581026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714936</xdr:colOff>
      <xdr:row>2</xdr:row>
      <xdr:rowOff>1</xdr:rowOff>
    </xdr:from>
    <xdr:to>
      <xdr:col>0</xdr:col>
      <xdr:colOff>1377100</xdr:colOff>
      <xdr:row>2</xdr:row>
      <xdr:rowOff>476250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7D4B03F9-7EB2-4A01-B2AE-5FDD6B03C0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714936" y="1066801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705411</xdr:colOff>
      <xdr:row>3</xdr:row>
      <xdr:rowOff>9526</xdr:rowOff>
    </xdr:from>
    <xdr:to>
      <xdr:col>0</xdr:col>
      <xdr:colOff>1367575</xdr:colOff>
      <xdr:row>3</xdr:row>
      <xdr:rowOff>485775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770276CB-0C07-449D-B7E8-EB12A5003D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705411" y="1581151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686361</xdr:colOff>
      <xdr:row>4</xdr:row>
      <xdr:rowOff>9526</xdr:rowOff>
    </xdr:from>
    <xdr:to>
      <xdr:col>0</xdr:col>
      <xdr:colOff>1348525</xdr:colOff>
      <xdr:row>4</xdr:row>
      <xdr:rowOff>485775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30A449E1-8064-4011-B82D-0102FE0DC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686361" y="2085976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667311</xdr:colOff>
      <xdr:row>5</xdr:row>
      <xdr:rowOff>9526</xdr:rowOff>
    </xdr:from>
    <xdr:to>
      <xdr:col>0</xdr:col>
      <xdr:colOff>1329475</xdr:colOff>
      <xdr:row>5</xdr:row>
      <xdr:rowOff>485775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DEF0B238-A03E-4CE9-8497-E5BD9A08E7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667311" y="2590801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695885</xdr:colOff>
      <xdr:row>6</xdr:row>
      <xdr:rowOff>4527</xdr:rowOff>
    </xdr:from>
    <xdr:to>
      <xdr:col>0</xdr:col>
      <xdr:colOff>1343585</xdr:colOff>
      <xdr:row>7</xdr:row>
      <xdr:rowOff>9526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xmlns="" id="{3E6C951F-7427-467C-985C-8568DA43B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35" t="10570" r="25049" b="16360"/>
        <a:stretch/>
      </xdr:blipFill>
      <xdr:spPr>
        <a:xfrm>
          <a:off x="695885" y="3090627"/>
          <a:ext cx="647700" cy="509824"/>
        </a:xfrm>
        <a:prstGeom prst="rect">
          <a:avLst/>
        </a:prstGeom>
      </xdr:spPr>
    </xdr:pic>
    <xdr:clientData/>
  </xdr:twoCellAnchor>
  <xdr:twoCellAnchor>
    <xdr:from>
      <xdr:col>0</xdr:col>
      <xdr:colOff>733985</xdr:colOff>
      <xdr:row>7</xdr:row>
      <xdr:rowOff>47625</xdr:rowOff>
    </xdr:from>
    <xdr:to>
      <xdr:col>0</xdr:col>
      <xdr:colOff>1347835</xdr:colOff>
      <xdr:row>8</xdr:row>
      <xdr:rowOff>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xmlns="" id="{7AF933BE-993D-47FC-9853-2D1F5BA83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6687" r="7227" b="20348"/>
        <a:stretch/>
      </xdr:blipFill>
      <xdr:spPr>
        <a:xfrm>
          <a:off x="733985" y="3638550"/>
          <a:ext cx="613850" cy="457200"/>
        </a:xfrm>
        <a:prstGeom prst="rect">
          <a:avLst/>
        </a:prstGeom>
      </xdr:spPr>
    </xdr:pic>
    <xdr:clientData/>
  </xdr:twoCellAnchor>
  <xdr:twoCellAnchor>
    <xdr:from>
      <xdr:col>0</xdr:col>
      <xdr:colOff>762560</xdr:colOff>
      <xdr:row>9</xdr:row>
      <xdr:rowOff>19050</xdr:rowOff>
    </xdr:from>
    <xdr:to>
      <xdr:col>0</xdr:col>
      <xdr:colOff>1376410</xdr:colOff>
      <xdr:row>9</xdr:row>
      <xdr:rowOff>476250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3BD54177-E3F7-4066-9DE8-FF4EDB54A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6687" r="7227" b="20348"/>
        <a:stretch/>
      </xdr:blipFill>
      <xdr:spPr>
        <a:xfrm>
          <a:off x="762560" y="4619625"/>
          <a:ext cx="613850" cy="457200"/>
        </a:xfrm>
        <a:prstGeom prst="rect">
          <a:avLst/>
        </a:prstGeom>
      </xdr:spPr>
    </xdr:pic>
    <xdr:clientData/>
  </xdr:twoCellAnchor>
  <xdr:twoCellAnchor>
    <xdr:from>
      <xdr:col>0</xdr:col>
      <xdr:colOff>762560</xdr:colOff>
      <xdr:row>10</xdr:row>
      <xdr:rowOff>19050</xdr:rowOff>
    </xdr:from>
    <xdr:to>
      <xdr:col>0</xdr:col>
      <xdr:colOff>1376410</xdr:colOff>
      <xdr:row>10</xdr:row>
      <xdr:rowOff>476250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934636D3-D322-4798-A280-A50072642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6687" r="7227" b="20348"/>
        <a:stretch/>
      </xdr:blipFill>
      <xdr:spPr>
        <a:xfrm>
          <a:off x="762560" y="5124450"/>
          <a:ext cx="613850" cy="457200"/>
        </a:xfrm>
        <a:prstGeom prst="rect">
          <a:avLst/>
        </a:prstGeom>
      </xdr:spPr>
    </xdr:pic>
    <xdr:clientData/>
  </xdr:twoCellAnchor>
  <xdr:twoCellAnchor>
    <xdr:from>
      <xdr:col>0</xdr:col>
      <xdr:colOff>762560</xdr:colOff>
      <xdr:row>11</xdr:row>
      <xdr:rowOff>19050</xdr:rowOff>
    </xdr:from>
    <xdr:to>
      <xdr:col>0</xdr:col>
      <xdr:colOff>1376410</xdr:colOff>
      <xdr:row>11</xdr:row>
      <xdr:rowOff>476250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027A7103-03CE-4E78-A7B4-E6A6DE708C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6687" r="7227" b="20348"/>
        <a:stretch/>
      </xdr:blipFill>
      <xdr:spPr>
        <a:xfrm>
          <a:off x="762560" y="5629275"/>
          <a:ext cx="613850" cy="457200"/>
        </a:xfrm>
        <a:prstGeom prst="rect">
          <a:avLst/>
        </a:prstGeom>
      </xdr:spPr>
    </xdr:pic>
    <xdr:clientData/>
  </xdr:twoCellAnchor>
  <xdr:twoCellAnchor>
    <xdr:from>
      <xdr:col>0</xdr:col>
      <xdr:colOff>743510</xdr:colOff>
      <xdr:row>12</xdr:row>
      <xdr:rowOff>9524</xdr:rowOff>
    </xdr:from>
    <xdr:to>
      <xdr:col>0</xdr:col>
      <xdr:colOff>1360509</xdr:colOff>
      <xdr:row>12</xdr:row>
      <xdr:rowOff>466725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F9A777EF-113D-49CB-9DB6-45C12A3FC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22" r="14307" b="19531"/>
        <a:stretch/>
      </xdr:blipFill>
      <xdr:spPr>
        <a:xfrm>
          <a:off x="743510" y="6124574"/>
          <a:ext cx="616999" cy="457201"/>
        </a:xfrm>
        <a:prstGeom prst="rect">
          <a:avLst/>
        </a:prstGeom>
      </xdr:spPr>
    </xdr:pic>
    <xdr:clientData/>
  </xdr:twoCellAnchor>
  <xdr:twoCellAnchor>
    <xdr:from>
      <xdr:col>0</xdr:col>
      <xdr:colOff>724461</xdr:colOff>
      <xdr:row>2</xdr:row>
      <xdr:rowOff>19051</xdr:rowOff>
    </xdr:from>
    <xdr:to>
      <xdr:col>0</xdr:col>
      <xdr:colOff>1386625</xdr:colOff>
      <xdr:row>2</xdr:row>
      <xdr:rowOff>495300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86DD9B39-AAB5-48DC-9904-F4A0BB1FD6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724461" y="1085851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724461</xdr:colOff>
      <xdr:row>3</xdr:row>
      <xdr:rowOff>19051</xdr:rowOff>
    </xdr:from>
    <xdr:to>
      <xdr:col>0</xdr:col>
      <xdr:colOff>1386625</xdr:colOff>
      <xdr:row>3</xdr:row>
      <xdr:rowOff>495300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D05ED1C7-C77C-4FC7-9728-00A0652328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724461" y="1590676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714936</xdr:colOff>
      <xdr:row>4</xdr:row>
      <xdr:rowOff>1</xdr:rowOff>
    </xdr:from>
    <xdr:to>
      <xdr:col>0</xdr:col>
      <xdr:colOff>1377100</xdr:colOff>
      <xdr:row>4</xdr:row>
      <xdr:rowOff>476250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xmlns="" id="{F02AA2C1-5703-48EE-B2AB-173588FA7F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714936" y="2076451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724461</xdr:colOff>
      <xdr:row>4</xdr:row>
      <xdr:rowOff>19051</xdr:rowOff>
    </xdr:from>
    <xdr:to>
      <xdr:col>0</xdr:col>
      <xdr:colOff>1386625</xdr:colOff>
      <xdr:row>4</xdr:row>
      <xdr:rowOff>495300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030BD12E-E2C7-4DEA-97E0-D8DEEC843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724461" y="2095501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714936</xdr:colOff>
      <xdr:row>6</xdr:row>
      <xdr:rowOff>1</xdr:rowOff>
    </xdr:from>
    <xdr:to>
      <xdr:col>0</xdr:col>
      <xdr:colOff>1377100</xdr:colOff>
      <xdr:row>6</xdr:row>
      <xdr:rowOff>476250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C7765507-BBE8-431B-9B6A-BCA09ACB3B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99" t="13281" r="17725" b="13672"/>
        <a:stretch/>
      </xdr:blipFill>
      <xdr:spPr>
        <a:xfrm>
          <a:off x="714936" y="3086101"/>
          <a:ext cx="662164" cy="476249"/>
        </a:xfrm>
        <a:prstGeom prst="rect">
          <a:avLst/>
        </a:prstGeom>
      </xdr:spPr>
    </xdr:pic>
    <xdr:clientData/>
  </xdr:twoCellAnchor>
  <xdr:twoCellAnchor>
    <xdr:from>
      <xdr:col>0</xdr:col>
      <xdr:colOff>753035</xdr:colOff>
      <xdr:row>8</xdr:row>
      <xdr:rowOff>9525</xdr:rowOff>
    </xdr:from>
    <xdr:to>
      <xdr:col>0</xdr:col>
      <xdr:colOff>1366885</xdr:colOff>
      <xdr:row>8</xdr:row>
      <xdr:rowOff>466725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8E436F5A-CD82-49FB-B5CB-FED7999001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8" t="6687" r="7227" b="20348"/>
        <a:stretch/>
      </xdr:blipFill>
      <xdr:spPr>
        <a:xfrm>
          <a:off x="753035" y="4105275"/>
          <a:ext cx="613850" cy="4572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nigredo" refreshedDate="44888.016357291664" createdVersion="6" refreshedVersion="6" minRefreshableVersion="3" recordCount="1575">
  <cacheSource type="worksheet">
    <worksheetSource ref="C2:AB36" sheet="Прайс свет"/>
  </cacheSource>
  <cacheFields count="26">
    <cacheField name="Артикул" numFmtId="0">
      <sharedItems containsBlank="1" count="1494">
        <m/>
        <s v="SVT-STR-EXTREME-103W-38"/>
        <s v="SVT-STR-EXTREME-103W-45"/>
        <s v="SVT-STR-EXTREME-103W-60"/>
        <s v="SVT-STR-EXTREME-103W-90"/>
        <s v="SVT-STR-EXTREME-103W-120"/>
        <s v="SVT-STR-EXTREME-154W-38"/>
        <s v="SVT-STR-EXTREME-154W-45"/>
        <s v="SVT-STR-EXTREME-154W-60"/>
        <s v="SVT-STR-EXTREME-154W-90"/>
        <s v="SVT-STR-EXTREME-154W-120"/>
        <s v="SVT-STR-EXTREME-205W-38"/>
        <s v="SVT-STR-EXTREME-205W-45"/>
        <s v="SVT-STR-EXTREME-205W-60"/>
        <s v="SVT-STR-EXTREME-205W-90"/>
        <s v="SVT-STR-EXTREME-205W-120"/>
        <s v="SVT-STR-EXTREME-257W-38"/>
        <s v="SVT-STR-EXTREME-257W-45"/>
        <s v="SVT-STR-EXTREME-257W-60"/>
        <s v="SVT-STR-EXTREME-257W-90"/>
        <s v="SVT-STR-EXTREME-257W-120"/>
        <s v="SVT-Str-MPRO-32W-Ex-MONO-120"/>
        <s v="SVT-Str-MPRO-48W-Ex-MONO-120"/>
        <s v="SVT-Str-MPRO-61W-Ex-MONO-120"/>
        <s v="SVT-Str-MPRO-80W-Ex-MONO-120"/>
        <s v="SVT-Str-MPRO-96W-Ex-MONO-120"/>
        <s v="SVT-Str-MPRO-61W-Ex-DUO-120"/>
        <s v="SVT-Str-MPRO-80W-Ex-DUO-120"/>
        <s v="SVT-Str-MPRO-96W-Ex-DUO-120"/>
        <s v="SVT-Str-MPRO-61W-Ex-TRIO-120"/>
        <s v="SVT-Str-MPRO-80W-Ex-TRIO-120"/>
        <s v="SVT-Str-MPRO-96W-Ex-TRIO-120"/>
        <s v="SVT-Str-MPRO-61W-Ex-QUATTRO-120"/>
        <s v="SVT-Str-MPRO-80W-Ex-QUATTRO-120"/>
        <s v="SVT-Str-MPRO-96W-Ex-QUATTRO-120"/>
        <s v="SVT-Str-MPRO-27W-Ex-MONO-45x140"/>
        <s v="SVT-Str-MPRO-27W-Ex-MONO-20"/>
        <s v="SVT-Str-MPRO-27W-Ex-MONO-35"/>
        <s v="SVT-Str-MPRO-27W-Ex-MONO-65"/>
        <s v="SVT-Str-MPRO-27W-Ex-MONO-100"/>
        <s v="SVT-Str-MPRO-27W-Ex-MONO-30x120"/>
        <s v="SVT-Str-MPRO-27W-Ex-MONO-150"/>
        <s v="SVT-Str-MPRO-53W-Ex-MONO-45x140"/>
        <s v="SVT-Str-MPRO-53W-Ex-MONO-20"/>
        <s v="SVT-Str-MPRO-53W-Ex-MONO-35"/>
        <s v="SVT-Str-MPRO-53W-Ex-MONO-65"/>
        <s v="SVT-Str-MPRO-53W-Ex-MONO-100"/>
        <s v="SVT-Str-MPRO-53W-Ex-MONO-30x120"/>
        <s v="SVT-Str-MPRO-53W-Ex-MONO-150"/>
        <s v="SVT-Str-MPRO-79W-Ex-MONO-45x140"/>
        <s v="SVT-Str-MPRO-79W-Ex-MONO-20"/>
        <s v="SVT-Str-MPRO-79W-Ex-MONO-35"/>
        <s v="SVT-Str-MPRO-79W-Ex-MONO-65"/>
        <s v="SVT-Str-MPRO-79W-Ex-MONO-100"/>
        <s v="SVT-Str-MPRO-79W-Ex-MONO-30x120"/>
        <s v="SVT-Str-MPRO-79W-Ex-MONO-150"/>
        <s v="SVT-Str-MPRO-102W-Ex-MONO-45x140"/>
        <s v="SVT-Str-MPRO-102W-Ex-MONO-20"/>
        <s v="SVT-Str-MPRO-102W-Ex-MONO-35"/>
        <s v="SVT-Str-MPRO-102W-Ex-MONO-65"/>
        <s v="SVT-Str-MPRO-102W-Ex-MONO-100"/>
        <s v="SVT-Str-MPRO-102W-Ex-MONO-30x120"/>
        <s v="SVT-Str-MPRO-102W-Ex-MONO-150"/>
        <s v="SVT-Str-MPRO-53W-Ex-DUO-45x140"/>
        <s v="SVT-Str-MPRO-53W-Ex-DUO-20"/>
        <s v="SVT-Str-MPRO-53W-Ex-DUO-35"/>
        <s v="SVT-Str-MPRO-53W-Ex-DUO-65"/>
        <s v="SVT-Str-MPRO-53W-Ex-DUO-100"/>
        <s v="SVT-Str-MPRO-53W-Ex-DUO-30x120"/>
        <s v="SVT-Str-MPRO-53W-Ex-DUO-150"/>
        <s v="SVT-Str-MPRO-79W-Ex-DUO-45x140"/>
        <s v="SVT-Str-MPRO-79W-Ex-DUO-20"/>
        <s v="SVT-Str-MPRO-79W-Ex-DUO-35"/>
        <s v="SVT-Str-MPRO-79W-Ex-DUO-65"/>
        <s v="SVT-Str-MPRO-79W-Ex-DUO-100"/>
        <s v="SVT-Str-MPRO-79W-Ex-DUO-30x120"/>
        <s v="SVT-Str-MPRO-79W-Ex-DUO-150"/>
        <s v="SVT-Str-MPRO-102W-Ex-DUO-45x140"/>
        <s v="SVT-Str-MPRO-102W-Ex-DUO-20"/>
        <s v="SVT-Str-MPRO-102W-Ex-DUO-35"/>
        <s v="SVT-Str-MPRO-102W-Ex-DUO-65"/>
        <s v="SVT-Str-MPRO-102W-Ex-DUO-100"/>
        <s v="SVT-Str-MPRO-102W-Ex-DUO-30x120"/>
        <s v="SVT-Str-MPRO-102W-Ex-DUO-150"/>
        <s v="SVT-Str-MPRO-53W-Ex-TRIO-45x140"/>
        <s v="SVT-Str-MPRO-53W-Ex-TRIO-20"/>
        <s v="SVT-Str-MPRO-53W-Ex-TRIO-35"/>
        <s v="SVT-Str-MPRO-53W-Ex-TRIO-65"/>
        <s v="SVT-Str-MPRO-53W-Ex-TRIO-100"/>
        <s v="SVT-Str-MPRO-53W-Ex-TRIO-30x120"/>
        <s v="SVT-Str-MPRO-53W-Ex-TRIO-150"/>
        <s v="SVT-Str-MPRO-79W-Ex-TRIO-45x140"/>
        <s v="SVT-Str-MPRO-79W-Ex-TRIO-20"/>
        <s v="SVT-Str-MPRO-79W-Ex-TRIO-35"/>
        <s v="SVT-Str-MPRO-79W-Ex-TRIO-65"/>
        <s v="SVT-Str-MPRO-79W-Ex-TRIO-100"/>
        <s v="SVT-Str-MPRO-79W-Ex-TRIO-30x120"/>
        <s v="SVT-Str-MPRO-79W-Ex-TRIO-150"/>
        <s v="SVT-Str-MPRO-102W-Ex-TRIO-45x140"/>
        <s v="SVT-Str-MPRO-102W-Ex-TRIO-20"/>
        <s v="SVT-Str-MPRO-102W-Ex-TRIO-35"/>
        <s v="SVT-Str-MPRO-102W-Ex-TRIO-65"/>
        <s v="SVT-Str-MPRO-102W-Ex-TRIO-100"/>
        <s v="SVT-Str-MPRO-102W-Ex-TRIO-30x120"/>
        <s v="SVT-Str-MPRO-102W-Ex-TRIO-150"/>
        <s v="SVT-Str-MPRO-53W-Ex-QUATTRO-45x140"/>
        <s v="SVT-Str-MPRO-53W-Ex-QUATTRO-20"/>
        <s v="SVT-Str-MPRO-53W-Ex-QUATTRO-35"/>
        <s v="SVT-Str-MPRO-53W-Ex-QUATTRO-65"/>
        <s v="SVT-Str-MPRO-53W-Ex-QUATTRO-100"/>
        <s v="SVT-Str-MPRO-53W-Ex-QUATTRO-30x120"/>
        <s v="SVT-Str-MPRO-53W-Ex-QUATTRO-150"/>
        <s v="SVT-Str-MPRO-79W-Ex-QUATTRO-45x140"/>
        <s v="SVT-Str-MPRO-79W-Ex-QUATTRO-20"/>
        <s v="SVT-Str-MPRO-79W-Ex-QUATTRO-35"/>
        <s v="SVT-Str-MPRO-79W-Ex-QUATTRO-65"/>
        <s v="SVT-Str-MPRO-79W-Ex-QUATTRO-100"/>
        <s v="SVT-Str-MPRO-79W-Ex-QUATTRO-30x120"/>
        <s v="SVT-Str-MPRO-79W-Ex-QUATTRO-150"/>
        <s v="SVT-Str-MPRO-102W-Ex-QUATTRO-45x140"/>
        <s v="SVT-Str-MPRO-102W-Ex-QUATTRO-20"/>
        <s v="SVT-Str-MPRO-102W-Ex-QUATTRO-35"/>
        <s v="SVT-Str-MPRO-102W-Ex-QUATTRO-65"/>
        <s v="SVT-Str-MPRO-102W-Ex-QUATTRO-100"/>
        <s v="SVT-Str-MPRO-102W-Ex-QUATTRO-30x120"/>
        <s v="SVT-Str-MPRO-102W-Ex-QUATTRO-150"/>
        <s v="SVT-Str-DIRECT-6W-Ex-120"/>
        <s v="SVT-Str-DIRECT-12W-Ex-120"/>
        <s v="SVT-Str-DIRECT-24W-Ex-120"/>
        <s v="SVT-Str-DIRECT-36W-Ex-120"/>
        <s v="SVT-Str-DIRECT-50W-Ex-120"/>
        <s v="SVT-Str-DIRECT-64W-Ex-120"/>
        <s v="SVT-Str-DIRECT-6W-Ex-8"/>
        <s v="SVT-Str-DIRECT-6W-Ex-15"/>
        <s v="SVT-Str-DIRECT-6W-Ex-25"/>
        <s v="SVT-Str-DIRECT-6W-Ex-45"/>
        <s v="SVT-Str-DIRECT-6W-Ex-10x60"/>
        <s v="SVT-Str-DIRECT-12W-Ex-8"/>
        <s v="SVT-Str-DIRECT-12W-Ex-15"/>
        <s v="SVT-Str-DIRECT-12W-Ex-25"/>
        <s v="SVT-Str-DIRECT-12W-Ex-45"/>
        <s v="SVT-Str-DIRECT-12W-Ex-10x60"/>
        <s v="SVT-Str-DIRECT-24W-Ex-8"/>
        <s v="SVT-Str-DIRECT-24W-Ex-15"/>
        <s v="SVT-Str-DIRECT-24W-Ex-25"/>
        <s v="SVT-Str-DIRECT-24W-Ex-45"/>
        <s v="SVT-Str-DIRECT-24W-Ex-10x60"/>
        <s v="SVT-Str-DIRECT-36W-Ex-8"/>
        <s v="SVT-Str-DIRECT-36W-Ex-15"/>
        <s v="SVT-Str-DIRECT-36W-Ex-25"/>
        <s v="SVT-Str-DIRECT-36W-Ex-45"/>
        <s v="SVT-Str-DIRECT-36W-Ex-10x60"/>
        <s v="SVT-Str-DIRECT-50W-Ex-8"/>
        <s v="SVT-Str-DIRECT-50W-Ex-15"/>
        <s v="SVT-Str-DIRECT-50W-Ex-25"/>
        <s v="SVT-Str-DIRECT-50W-Ex-45"/>
        <s v="SVT-Str-DIRECT-50W-Ex-10x60"/>
        <s v="SVT-Str-DIRECT-64W-Ex-8"/>
        <s v="SVT-Str-DIRECT-64W-Ex-15"/>
        <s v="SVT-Str-DIRECT-64W-Ex-25"/>
        <s v="SVT-Str-DIRECT-64W-Ex-45"/>
        <s v="SVT-Str-DIRECT-64W-Ex-10x60"/>
        <s v="SVT-Str-DIRECT-12W-Ex-120-tab"/>
        <s v="SVT-STR-MPB-32W"/>
        <s v="SVT-STR-MPB-48W"/>
        <s v="SVT-STR-MPB-61W"/>
        <s v="SVT-STR-MPB-48W-DUO"/>
        <s v="SVT-STR-M-48W-AZS (рамка 350х350)"/>
        <s v="SVT-STR-M-48W-AZS-DUO (рамка 350х350)"/>
        <s v="Рамка для АЗС на Модули с защитой 380В. Для 1 или 2 Модулей."/>
        <s v="SVT-ARM-U-AIR-595x595x34-29W-PR-InBat-IP54"/>
        <s v="SVT-ARM-U-AIR-1195x200x34-29W-IP54-PR-InBat"/>
        <s v="SVT-ARM-U-595x595x40-30W-PR-inBAT-2h"/>
        <s v="SVT-P-I-v2-1200-36W-IP65-M-InBat"/>
        <s v="SVT-OFF-EM-6W-1h-настенный (Без пиктограммы)"/>
        <s v="SVT-OFF-EM-6W-3h-настенный (Без пиктограммы)"/>
        <s v="SVT-OFF-EM-6W-1h (Без пиктограммы)"/>
        <s v="SVT-OFF-EM-3W-3h-универсальный (с пиктограммой)"/>
        <s v="SVT-OFF-EM-6W-1h-IP65-настенный (Без пиктограммы)"/>
        <s v="SVT-OFF-EM-6W-3h-IP65-настенный (Без пиктограммы)"/>
        <s v="SVT-OFF-EM-12W-3h-IP65-настенный (Без пиктограммы)"/>
        <s v="Пиктограмма &quot;выход налево&quot; 260х100мм"/>
        <s v="Пиктограмма &quot;выход направо&quot; 260х100мм"/>
        <s v="Пиктограмма &quot;ВЫХОД&quot; 260х100мм"/>
        <s v="Пиктограмма &quot;указательная стрелка&quot;  260х100мм"/>
        <s v="Пиктограмма &quot;выход вниз по лестнице направо&quot; 260х100мм"/>
        <s v="Пиктограмма &quot;выход вниз по лестнице налево&quot; 260х100мм"/>
        <s v="Пиктограмма &quot;выход вверх по лестнице направо&quot; 260х100мм"/>
        <s v="Пиктограмма &quot;выход вверх по лестнице налево&quot; 260х100мм"/>
        <s v="Пиктограмма &quot;запасный выход&quot; 260х100мм"/>
        <s v="Пиктограмма &quot;выход прямо вниз&quot; 260х100мм"/>
        <s v="Пиктограмма &quot;выход exit&quot; 260х100мм"/>
        <s v="Пиктограмма &quot;exit&quot; 260х100"/>
        <s v="SVT-P-I-1280-30W-T-inBAT-2h"/>
        <s v="SVT-P-I-1280-30W-M-inBAT-2h"/>
        <s v="SVT-P-I-v2-400-18W-IP65-M-inBAT-2h"/>
        <s v="SVT-P-UL-35W-inBAT-2h"/>
        <s v="SVT-STR-M-16W-LV-12V DC"/>
        <s v="SVT-STR-M-16W-LV-24V DC"/>
        <s v="SVT-STR-M-16W-LV-36V DC"/>
        <s v="SVT-STR-M-16W-LV-12V AC"/>
        <s v="SVT-STR-M-16W-LV-24V AC"/>
        <s v="SVT-STR-M-16W-LV-36V AC"/>
        <s v="SVT-STR-M-24W-LV-12V DC"/>
        <s v="SVT-STR-M-24W-LV-24V DC"/>
        <s v="SVT-STR-M-24W-LV-36V DC"/>
        <s v="SVT-STR-M-24W-LV-12V AC"/>
        <s v="SVT-STR-M-24W-LV-24V AC"/>
        <s v="SVT-STR-M-24W-LV-36V AC"/>
        <s v="SVT-STR-M-32W-LV-12V DC"/>
        <s v="SVT-STR-M-32W-LV-24V DC"/>
        <s v="SVT-STR-M-32W-LV-36V DC"/>
        <s v="SVT-STR-M-32W-LV-12V AC"/>
        <s v="SVT-STR-M-32W-LV-24V AC"/>
        <s v="SVT-STR-M-32W-LV-36V AC"/>
        <s v="SVT-P-I-v2-300-8W-LV-12V DC"/>
        <s v="SVT-P-I-v2-300-8W-LV-24V DC"/>
        <s v="SVT-P-I-v2-300-8W-LV-36V DC"/>
        <s v="SVT-P-I-v2-300-8W-LV-12V AC"/>
        <s v="SVT-P-I-v2-300-8W-LV-24V AC"/>
        <s v="SVT-P-I-v2-300-8W-LV-36V AC"/>
        <s v="SVT-P-I-v2-600-16W-LV-12V DC"/>
        <s v="SVT-P-I-v2-600-16W-LV-24V DC"/>
        <s v="SVT-P-I-v2-600-16W-LV-36V DC"/>
        <s v="SVT-P-I-v2-600-16W-LV-12V AC"/>
        <s v="SVT-P-I-v2-600-16W-LV-24V AC"/>
        <s v="SVT-P-I-v2-600-16W-LV-36V AC"/>
        <s v="SVT-P-I-v2-900-24W-LV-12V DC"/>
        <s v="SVT-P-I-v2-900-24W-LV-24V DC"/>
        <s v="SVT-P-I-v2-900-24W-LV-36V DC"/>
        <s v="SVT-P-I-v2-900-24W-LV-12V AC"/>
        <s v="SVT-P-I-v2-900-24W-LV-24V AC"/>
        <s v="SVT-P-I-v2-900-24W-LV-36V AC"/>
        <s v="SVT-P-I-v2-1200-32W-LV-12V DC"/>
        <s v="SVT-P-I-v2-1200-32W-LV-24V DC"/>
        <s v="SVT-P-I-v2-1200-32W-LV-36V DC"/>
        <s v="SVT-P-I-v2-1200-32W-LV-12V AC"/>
        <s v="SVT-P-I-v2-1200-32W-LV-24V AC"/>
        <s v="SVT-P-I-v2-1200-32W-LV-36V AC"/>
        <s v="SVT-P-DIRECT-300-8W-LV-12V DC"/>
        <s v="SVT-P-DIRECT-300-8W-LV-24V DC"/>
        <s v="SVT-P-DIRECT-300-8W-LV-36V DC"/>
        <s v="SVT-P-DIRECT-300-8W-LV-12V AC"/>
        <s v="SVT-P-DIRECT-300-8W-LV-24V AC"/>
        <s v="SVT-P-DIRECT-300-8W-LV-36V AC"/>
        <s v="SVT-P-DIRECT-600-16W-LV-12V DC"/>
        <s v="SVT-P-DIRECT-600-16W-LV-24V DC"/>
        <s v="SVT-P-DIRECT-600-16W-LV-36V DC"/>
        <s v="SVT-P-DIRECT-600-16W-LV-12V AC"/>
        <s v="SVT-P-DIRECT-600-16W-LV-24V AC"/>
        <s v="SVT-P-DIRECT-600-16W-LV-36V AC"/>
        <s v="SVT-P-DIRECT-900-24W-LV-12V DC"/>
        <s v="SVT-P-DIRECT-900-24W-LV-24V DC"/>
        <s v="SVT-P-DIRECT-900-24W-LV-36V DC"/>
        <s v="SVT-P-DIRECT-900-24W-LV-12V AC"/>
        <s v="SVT-P-DIRECT-900-24W-LV-24V AC"/>
        <s v="SVT-P-DIRECT-900-24W-LV-36V AC"/>
        <s v="SVT-P-DIRECT-1200-32W-LV-12V DC"/>
        <s v="SVT-P-DIRECT-1200-32W-LV-24V DC"/>
        <s v="SVT-P-DIRECT-1200-32W-LV-36V DC"/>
        <s v="SVT-P-DIRECT-1200-32W-LV-12V AC"/>
        <s v="SVT-P-DIRECT-1200-32W-LV-24V AC"/>
        <s v="SVT-P-DIRECT-1200-32W-LV-36V AC"/>
        <s v="SVT-STR-MPRO-53W-20-CRI90-5700K"/>
        <s v="SVT-STR-MPRO-53W-35-CRI90-5700K"/>
        <s v="SVT-STR-MPRO-53W-65-CRI90-5700K"/>
        <s v="SVT-STR-MPRO-79W-20-CRI90-5700K"/>
        <s v="SVT-STR-MPRO-79W-35-CRI90-5700K"/>
        <s v="SVT-STR-MPRO-79W-65-CRI90-5700K"/>
        <s v="SVT-STR-MPRO-102W-20-CRI90-5700K"/>
        <s v="SVT-STR-MPRO-102W-35-CRI90-5700K"/>
        <s v="SVT-STR-MPRO-102W-65-CRI90-5700K"/>
        <s v="SVT-STR-MPRO-79W-20-CRI90-5700K-DUO"/>
        <s v="SVT-STR-MPRO-79W-35-CRI90-5700K-DUO"/>
        <s v="SVT-STR-MPRO-79W-65-CRI90-5700K-DUO"/>
        <s v="SVT-STR-MPRO-79W-20-CRI90-5700K-TRIO"/>
        <s v="SVT-STR-MPRO-79W-35-CRI90-5700K-TRIO"/>
        <s v="SVT-STR-MPRO-79W-65-CRI90-5700K-TRIO"/>
        <s v="SVT-STR-MPRO-102W-20-CRI90-5700K-DUO"/>
        <s v="SVT-STR-MPRO-102W-35-CRI90-5700K-DUO"/>
        <s v="SVT-STR-MPRO-102W-65-CRI90-5700K-DUO"/>
        <s v="SVT-STR-MPRO-102W-20-CRI90-5700K-TRIO"/>
        <s v="SVT-STR-MPRO-102W-35-CRI90-5700K-TRIO"/>
        <s v="SVT-STR-MPRO-102W-65-CRI90-5700K-TRIO"/>
        <s v="SVT-STR-MPRO-102W-20-CRI90-5700K-QUATTRO"/>
        <s v="SVT-STR-MPRO-102W-35-CRI90-5700K-QUATTRO"/>
        <s v="SVT-STR-MPRO-102W-65-CRI90-5700K-QUATTRO"/>
        <s v="SVT-STR-MPRO-61W-CRI90-5700K"/>
        <s v="SVT-STR-MPRO-61W-CRI90-5700K-DUO"/>
        <s v="SVT-STR-MPRO-61W-CRI90-5700K-TRIO"/>
        <s v="SVT-STR-MPRO-96W-CRI90-5700K"/>
        <s v="SVT-STR-MPRO-96W-CRI90-5700K-DUO"/>
        <s v="SVT-STR-MPRO-96W-CRI90-5700K-TRIO"/>
        <s v="SVT-STR-MPRO-96W-CRI90-5700K-QUATTRO"/>
        <s v="SVT-STR-MPRO-Max-81W-20-CRI90-5700K"/>
        <s v="SVT-STR-MPRO-Max-81W-35-CRI90-5700K"/>
        <s v="SVT-STR-MPRO-Max-81W-65-CRI90-5700K"/>
        <s v="SVT-STR-MPRO-Max-119W-20-CRI90-5700K"/>
        <s v="SVT-STR-MPRO-Max-119W-35-CRI90-5700K"/>
        <s v="SVT-STR-MPRO-Max-119W-65-CRI90-5700K"/>
        <s v="SVT-STR-MPRO-Max-155W-20-CRI90-5700K"/>
        <s v="SVT-STR-MPRO-Max-155W-35-CRI90-5700K"/>
        <s v="SVT-STR-MPRO-Max-155W-65-CRI90-5700K"/>
        <s v="SVT-STR-MPRO-Max-119W-20-CRI90-5700K-DUO"/>
        <s v="SVT-STR-MPRO-Max-119W-35-CRI90-5700K-DUO"/>
        <s v="SVT-STR-MPRO-Max-119W-65-CRI90-5700K-DUO"/>
        <s v="SVT-STR-MPRO-Max-119W-20-CRI90-5700K-TRIO"/>
        <s v="SVT-STR-MPRO-Max-119W-35-CRI90-5700K-TRIO"/>
        <s v="SVT-STR-MPRO-Max-119W-65-CRI90-5700K-TRIO"/>
        <s v="SVT-STR-MPRO-Max-155W-20-CRI90-5700K-DUO"/>
        <s v="SVT-STR-MPRO-Max-155W-35-CRI90-5700K-DUO"/>
        <s v="SVT-STR-MPRO-Max-155W-65-CRI90-5700K-DUO"/>
        <s v="SVT-STR-MPRO-Max-155W-20-CRI90-5700K-TRIO"/>
        <s v="SVT-STR-MPRO-Max-155W-35-CRI90-5700K-TRIO"/>
        <s v="SVT-STR-MPRO-Max-155W-65-CRI90-5700K-TRIO"/>
        <s v="SVT-STR-MPRO-Max-155W-20-CRI90-5700K-QUATTRO"/>
        <s v="SVT-STR-MPRO-Max-155W-35-CRI90-5700K-QUATTRO"/>
        <s v="SVT-STR-MPRO-Max-155W-65-CRI90-5700K-QUATTRO"/>
        <s v="SVT-STR-MPRO-53W-20-CRI80-5700K"/>
        <s v="SVT-STR-MPRO-53W-35-CRI80-5700K"/>
        <s v="SVT-STR-MPRO-53W-65-CRI80-5700K"/>
        <s v="SVT-STR-MPRO-79W-20-CRI80-5700K"/>
        <s v="SVT-STR-MPRO-79W-35-CRI80-5700K"/>
        <s v="SVT-STR-MPRO-79W-65-CRI80-5700K"/>
        <s v="SVT-STR-MPRO-102W-20-CRI80-5700K"/>
        <s v="SVT-STR-MPRO-102W-35-CRI80-5700K"/>
        <s v="SVT-STR-MPRO-102W-65-CRI80-5700K"/>
        <s v="SVT-STR-MPRO-79W-20-CRI80-5700K-DUO"/>
        <s v="SVT-STR-MPRO-79W-35-CRI80-5700K-DUO"/>
        <s v="SVT-STR-MPRO-79W-65-CRI80-5700K-DUO"/>
        <s v="SVT-STR-MPRO-79W-20-CRI80-5700K-TRIO"/>
        <s v="SVT-STR-MPRO-79W-35-CRI80-5700K-TRIO"/>
        <s v="SVT-STR-MPRO-79W-65-CRI80-5700K-TRIO"/>
        <s v="SVT-STR-MPRO-102W-20-CRI80-5700K-DUO"/>
        <s v="SVT-STR-MPRO-102W-35-CRI80-5700K-DUO"/>
        <s v="SVT-STR-MPRO-102W-65-CRI80-5700K-DUO"/>
        <s v="SVT-STR-MPRO-102W-20-CRI80-5700K-TRIO"/>
        <s v="SVT-STR-MPRO-102W-35-CRI80-5700K-TRIO"/>
        <s v="SVT-STR-MPRO-102W-65-CRI80-5700K-TRIO"/>
        <s v="SVT-STR-MPRO-102W-20-CRI80-5700K-QUATTRO"/>
        <s v="SVT-STR-MPRO-102W-35-CRI80-5700K-QUATTRO"/>
        <s v="SVT-STR-MPRO-102W-65-CRI80-5700K-QUATTRO"/>
        <s v="SVT-STR-MPRO-61W-CRI80-5700K"/>
        <s v="SVT-STR-MPRO-61W-CRI80-5700K-DUO"/>
        <s v="SVT-STR-MPRO-61W-CRI80-5700K-TRIO"/>
        <s v="SVT-STR-MPRO-96W-CRI80-5700K"/>
        <s v="SVT-STR-MPRO-96W-CRI80-5700K-DUO"/>
        <s v="SVT-STR-MPRO-96W-CRI80-5700K-TRIO"/>
        <s v="SVT-STR-MPRO-96W-CRI80-5700K-QUATTRO"/>
        <s v="SVT-STR-MPRO-Max-81W-20-CRI80-5700K"/>
        <s v="SVT-STR-MPRO-Max-81W-35-CRI80-5700K"/>
        <s v="SVT-STR-MPRO-Max-81W-65-CRI80-5700K"/>
        <s v="SVT-STR-MPRO-Max-119W-20-CRI80-5700K"/>
        <s v="SVT-STR-MPRO-Max-119W-35-CRI80-5700K"/>
        <s v="SVT-STR-MPRO-Max-119W-65-CRI80-5700K"/>
        <s v="SVT-STR-MPRO-Max-155W-20-CRI80-5700K"/>
        <s v="SVT-STR-MPRO-Max-155W-35-CRI80-5700K"/>
        <s v="SVT-STR-MPRO-Max-155W-65-CRI80-5700K"/>
        <s v="SVT-STR-MPRO-Max-119W-20-CRI80-5700K-DUO"/>
        <s v="SVT-STR-MPRO-Max-119W-35-CRI80-5700K-DUO"/>
        <s v="SVT-STR-MPRO-Max-119W-65-CRI80-5700K-DUO"/>
        <s v="SVT-STR-MPRO-Max-119W-20-CRI80-5700K-TRIO"/>
        <s v="SVT-STR-MPRO-Max-119W-35-CRI80-5700K-TRIO"/>
        <s v="SVT-STR-MPRO-Max-119W-65-CRI80-5700K-TRIO"/>
        <s v="SVT-STR-MPRO-Max-155W-20-CRI80-5700K-DUO"/>
        <s v="SVT-STR-MPRO-Max-155W-35-CRI80-5700K-DUO"/>
        <s v="SVT-STR-MPRO-Max-155W-65-CRI80-5700K-DUO"/>
        <s v="SVT-STR-MPRO-Max-155W-20-CRI80-5700K-TRIO"/>
        <s v="SVT-STR-MPRO-Max-155W-35-CRI80-5700K-TRIO"/>
        <s v="SVT-STR-MPRO-Max-155W-65-CRI80-5700K-TRIO"/>
        <s v="SVT-STR-MPRO-Max-155W-20-CRI80-5700K-QUATTRO"/>
        <s v="SVT-STR-MPRO-Max-155W-35-CRI80-5700K-QUATTRO"/>
        <s v="SVT-STR-MPRO-Max-155W-65-CRI80-5700K-QUATTRO"/>
        <s v="SVT-Med-BH-29W/10W-up/down-4000K"/>
        <s v="SVT-STR-DKU-CITY-50-157X57"/>
        <s v="SVT-STR-DKU-CITY-80-157X57"/>
        <s v="SVT-STR-DKU-CITY-120-157X57"/>
        <s v="SVT-P-DIRECT-300-12W "/>
        <s v="SVT-P-DIRECT-300-24W "/>
        <s v="SVT-P-DIRECT-600-24W "/>
        <s v="SVT-P-DIRECT-600-48W "/>
        <s v="SVT-P-DIRECT-750-32W "/>
        <s v="SVT-P-DIRECT-750-64W "/>
        <s v="SVT-P-DIRECT-900-36W "/>
        <s v="SVT-P-DIRECT-900-72W"/>
        <s v="SVT-P-DIRECT-1200-48W "/>
        <s v="SVT-P-DIRECT-1200-96W "/>
        <s v="SVT-P-DIRECT-1500-64W "/>
        <s v="SVT-P-DIRECT-1500-128W "/>
        <s v="SVT-P-DISK-80W-RB"/>
        <s v="SVT-P-DISK-150W-RB"/>
        <s v="SVT-P-DISK-160W-RB"/>
        <s v="SVT-STR-ZL-10W-IP54"/>
        <s v="SVT-STR-ZL-14W-IP54"/>
        <s v="SVT-STR-ZL-18W-IP54"/>
        <s v="SVT-STR-ZL-20W-IP54"/>
        <s v="SVT-STR-MPRO-32W"/>
        <s v="SVT-STR-MPRO-48W"/>
        <s v="SVT-STR-MPRO-61W"/>
        <s v="SVT-STR-MPRO-80W"/>
        <s v="SVT-STR-MPRO-96W"/>
        <s v="SVT-STR-MPRO-32W-C"/>
        <s v="SVT-STR-MPRO-48W-C"/>
        <s v="SVT-STR-MPRO-61W-C"/>
        <s v="SVT-STR-MPRO-80W-C"/>
        <s v="SVT-STR-MPRO-96W-C"/>
        <s v="SVT-STR-MPRO-120W"/>
        <s v="SVT-STR-MPRO-120W-C"/>
        <s v="SVT-STR-MPRO-27W-45x140-C"/>
        <s v="SVT-STR-MPRO-27W-20"/>
        <s v="SVT-STR-MPRO-27W-35"/>
        <s v="SVT-STR-MPRO-27W-65"/>
        <s v="SVT-STR-MPRO-27W-100"/>
        <s v="SVT-STR-MPRO-27W-30x120"/>
        <s v="SVT-STR-MPRO-27W-VSM"/>
        <s v="SVT-STR-MPRO-27W-45x140"/>
        <s v="SVT-STR-MPRO-53W-45x140-C"/>
        <s v="SVT-STR-MPRO-53W-20"/>
        <s v="SVT-STR-MPRO-53W-35"/>
        <s v="SVT-STR-MPRO-53W-65"/>
        <s v="SVT-STR-MPRO-53W-100"/>
        <s v="SVT-STR-MPRO-53W-30x120"/>
        <s v="SVT-STR-MPRO-53W-VSM"/>
        <s v="SVT-STR-MPRO-53W-45x140"/>
        <s v="SVT-STR-MPRO-79W-45x140-C"/>
        <s v="SVT-STR-MPRO-79W-20"/>
        <s v="SVT-STR-MPRO-79W-35"/>
        <s v="SVT-STR-MPRO-79W-65"/>
        <s v="SVT-STR-MPRO-79W-100"/>
        <s v="SVT-STR-MPRO-79W-30x120"/>
        <s v="SVT-STR-MPRO-79W-VSM"/>
        <s v="SVT-STR-MPRO-79W-45x140"/>
        <s v="SVT-STR-MPRO-102W-45x140-C"/>
        <s v="SVT-STR-MPRO-102W-20"/>
        <s v="SVT-STR-MPRO-102W-35"/>
        <s v="SVT-STR-MPRO-102W-65"/>
        <s v="SVT-STR-MPRO-102W-100"/>
        <s v="SVT-STR-MPRO-102W-30x120"/>
        <s v="SVT-STR-MPRO-102W-VSM"/>
        <s v="SVT-STR-MPRO-102W-45x140"/>
        <s v="SVT-STR-MPRO-48W-DUO-C"/>
        <s v="SVT-STR-MPRO-48W-TRIO"/>
        <s v="SVT-STR-MPRO-48W-TRIO-C"/>
        <s v="SVT-STR-MPRO-61W-DUO"/>
        <s v="SVT-STR-MPRO-61W-DUO-C"/>
        <s v="SVT-STR-MPRO-61W-TRIO"/>
        <s v="SVT-STR-MPRO-61W-QUATTRO"/>
        <s v="SVT-STR-MPRO-96W-DUO"/>
        <s v="SVT-STR-MPRO-96W-DUO-C"/>
        <s v="SVT-STR-MPRO-96W-TRIO"/>
        <s v="SVT-STR-MPRO-96W-QUATTRO"/>
        <s v="SVT-STR-MPRO-120W-DUO"/>
        <s v="SVT-STR-MPRO-120W-DUO-C"/>
        <s v="SVT-STR-MPRO-120W-TRIO"/>
        <s v="SVT-STR-MPRO-120W-TRIO-C"/>
        <s v="SVT-STR-MPRO-120W-QUATTRO"/>
        <s v="SVT-STR-MPRO-79W-45x140-DUO-C"/>
        <s v="SVT-STR-MPRO-79W-20-DUO"/>
        <s v="SVT-STR-MPRO-79W-35-DUO"/>
        <s v="SVT-STR-MPRO-79W-65-DUO"/>
        <s v="SVT-STR-MPRO-79W-100-DUO"/>
        <s v="SVT-STR-MPRO-79W-30x120-DUO"/>
        <s v="SVT-STR-MPRO-79W-VSM-DUO"/>
        <s v="SVT-STR-MPRO-79W-45x140-DUO"/>
        <s v="SVT-STR-MPRO-102W-45x140-DUO-C"/>
        <s v="SVT-STR-MPRO-102W-20-DUO"/>
        <s v="SVT-STR-MPRO-102W-35-DUO"/>
        <s v="SVT-STR-MPRO-102W-65-DUO"/>
        <s v="SVT-STR-MPRO-102W-100-DUO"/>
        <s v="SVT-STR-MPRO-102W-30x120-DUO"/>
        <s v="SVT-STR-MPRO-102W-VSM-DUO"/>
        <s v="SVT-STR-MPRO-102W-45x140-DUO"/>
        <s v="SVT-STR-MPRO-79W-45x140-TRIO-C"/>
        <s v="SVT-STR-MPRO-79W-20-TRIO"/>
        <s v="SVT-STR-MPRO-79W-35-TRIO"/>
        <s v="SVT-STR-MPRO-79W-65-TRIO"/>
        <s v="SVT-STR-MPRO-79W-100-TRIO"/>
        <s v="SVT-STR-MPRO-79W-30x120-TRIO"/>
        <s v="SVT-STR-MPRO-79W-VSM-TRIO"/>
        <s v="SVT-STR-MPRO-79W-45x140-TRIO"/>
        <s v="SVT-STR-MPRO-102W-45x140-TRIO-C"/>
        <s v="SVT-STR-MPRO-102W-20-TRIO"/>
        <s v="SVT-STR-MPRO-102W-35-TRIO"/>
        <s v="SVT-STR-MPRO-102W-65-TRIO"/>
        <s v="SVT-STR-MPRO-102W-100-TRIO"/>
        <s v="SVT-STR-MPRO-102W-30x120-TRIO"/>
        <s v="SVT-STR-MPRO-102W-VSM-TRIO"/>
        <s v="SVT-STR-MPRO-102W-45x140-TRIO"/>
        <s v="SVT-STR-MPRO-79W-20-QUATTRO"/>
        <s v="SVT-STR-MPRO-79W-35-QUATTRO"/>
        <s v="SVT-STR-MPRO-79W-65-QUATTRO"/>
        <s v="SVT-STR-MPRO-79W-100-QUATTRO"/>
        <s v="SVT-STR-MPRO-79W-30x120-QUATTRO"/>
        <s v="SVT-STR-MPRO-79W-VSM-QUATTRO"/>
        <s v="SVT-STR-MPRO-79W-45x140-QUATTRO"/>
        <s v="SVT-STR-MPRO-102W-20-QUATTRO"/>
        <s v="SVT-STR-MPRO-102W-35-QUATTRO"/>
        <s v="SVT-STR-MPRO-102W-65-QUATTRO"/>
        <s v="SVT-STR-MPRO-102W-100-QUATTRO"/>
        <s v="SVT-STR-MPRO-102W-30x120-QUATTRO"/>
        <s v="SVT-STR-MPRO-102W-VSM-QUATTRO"/>
        <s v="SVT-STR-MPRO-102W-45x140-QUATTRO"/>
        <s v="SVT-STR-MPRO-Max-42W-20"/>
        <s v="SVT-STR-MPRO-Max-42W-35"/>
        <s v="SVT-STR-MPRO-Max-42W-65"/>
        <s v="SVT-STR-MPRO-Max-42W-100"/>
        <s v="SVT-STR-MPRO-Max-42W-30x120"/>
        <s v="SVT-STR-MPRO-Max-42W-VSM"/>
        <s v="SVT-STR-MPRO-Max-42W-45x140"/>
        <s v="SVT-STR-MPRO-Max-42W-45x140-C"/>
        <s v="SVT-STR-MPRO-Max-81W-20"/>
        <s v="SVT-STR-MPRO-Max-81W-35"/>
        <s v="SVT-STR-MPRO-Max-81W-65"/>
        <s v="SVT-STR-MPRO-Max-81W-100"/>
        <s v="SVT-STR-MPRO-Max-81W-30x120"/>
        <s v="SVT-STR-MPRO-Max-81W-VSM"/>
        <s v="SVT-STR-MPRO-Max-81W-45x140"/>
        <s v="SVT-STR-MPRO-Max-81W-45x140-C"/>
        <s v="SVT-STR-MPRO-Max-119W-20"/>
        <s v="SVT-STR-MPRO-Max-119W-35"/>
        <s v="SVT-STR-MPRO-Max-119W-65"/>
        <s v="SVT-STR-MPRO-Max-119W-100"/>
        <s v="SVT-STR-MPRO-Max-119W-30x120"/>
        <s v="SVT-STR-MPRO-Max-119W-VSM"/>
        <s v="SVT-STR-MPRO-Max-119W-45x140"/>
        <s v="SVT-STR-MPRO-Max-119W-45x140-C"/>
        <s v="SVT-STR-MPRO-Max-155W-20"/>
        <s v="SVT-STR-MPRO-Max-155W-35"/>
        <s v="SVT-STR-MPRO-Max-155W-65"/>
        <s v="SVT-STR-MPRO-Max-155W-100"/>
        <s v="SVT-STR-MPRO-Max-155W-30x120"/>
        <s v="SVT-STR-MPRO-Max-155W-VSM"/>
        <s v="SVT-STR-MPRO-Max-155W-45x140"/>
        <s v="SVT-STR-MPRO-Max-155W-45x140-C"/>
        <s v="SVT-STR-MPRO-Max-81W-20-DUO"/>
        <s v="SVT-STR-MPRO-Max-81W-35-DUO"/>
        <s v="SVT-STR-MPRO-Max-81W-65-DUO"/>
        <s v="SVT-STR-MPRO-Max-81W-100-DUO"/>
        <s v="SVT-STR-MPRO-Max-81W-30x120-DUO"/>
        <s v="SVT-STR-MPRO-Max-81W-VSM-DUO"/>
        <s v="SVT-STR-MPRO-Max-81W-45x140-DUO"/>
        <s v="SVT-STR-MPRO-Max-81W-45x140-C-DUO"/>
        <s v="SVT-STR-MPRO-Max-81W-20-TRIO"/>
        <s v="SVT-STR-MPRO-Max-81W-35-TRIO"/>
        <s v="SVT-STR-MPRO-Max-81W-65-TRIO"/>
        <s v="SVT-STR-MPRO-Max-81W-100-TRIO"/>
        <s v="SVT-STR-MPRO-Max-81W-30x120-TRIO"/>
        <s v="SVT-STR-MPRO-Max-81W-VSM-TRIO"/>
        <s v="SVT-STR-MPRO-Max-81W-45x140-TRIO"/>
        <s v="SVT-STR-MPRO-Max-81W-45x140-C-TRIO"/>
        <s v="SVT-STR-MPRO-Max-119W-20-DUO"/>
        <s v="SVT-STR-MPRO-Max-119W-35-DUO"/>
        <s v="SVT-STR-MPRO-Max-119W-65-DUO"/>
        <s v="SVT-STR-MPRO-Max-119W-45x140-DUO"/>
        <s v="SVT-STR-MPRO-Max-119W-20-TRIO"/>
        <s v="SVT-STR-MPRO-Max-119W-35-TRIO"/>
        <s v="SVT-STR-MPRO-Max-119W-65-TRIO"/>
        <s v="SVT-STR-MPRO-Max-119W-45x140-TRIO"/>
        <s v="SVT-STR-MPRO-Max-155W-20-DUO"/>
        <s v="SVT-STR-MPRO-Max-155W-35-DUO"/>
        <s v="SVT-STR-MPRO-Max-155W-65-DUO"/>
        <s v="SVT-STR-MPRO-Max-155W-45x140-DUO"/>
        <s v="SVT-STR-MPRO-Max-155W-20-TRIO"/>
        <s v="SVT-STR-MPRO-Max-155W-35-TRIO"/>
        <s v="SVT-STR-MPRO-Max-155W-65-TRIO"/>
        <s v="SVT-STR-MPRO-Max-155W-45x140-TRIO"/>
        <s v="SVT-STR-MPRO-Max-155W-20-QUATTRO"/>
        <s v="SVT-STR-MPRO-Max-155W-35-QUATTRO"/>
        <s v="SVT-STR-MPRO-Max-155W-65-QUATTRO"/>
        <s v="SVT-STR-MPRO-Max-155W-45x140-QUATTRO"/>
        <s v="SVT-P-FLOWER-MPRO-96W (32Wx3) трос"/>
        <s v="SVT-P-FLOWER-MPRO-128W (32Wx4)  трос"/>
        <s v="SVT-P-FLOWER-MPRO-192W (32Wx6) трос"/>
        <s v="SVT-P-FLOWER-MPRO-144W (48Wx3) трос"/>
        <s v="SVT-P-FLOWER-MPRO-192W (48Wx4) трос"/>
        <s v="SVT-P-FLOWER-MPRO-288W (48Wx6) трос"/>
        <s v="SVT-P-FLOWER-MPRO-183W (61Wx3) трос"/>
        <s v="SVT-P-FLOWER-MPRO-244W (61Wx4) трос"/>
        <s v="SVT-P-FLOWER-MPRO-366W(61Wx6) трос"/>
        <s v="SVT-P-FLOWER-MPRO-81W-35 (27Wx3) трос"/>
        <s v="SVT-P-FLOWER-MPRO-81W-65 (27Wx3) трос"/>
        <s v="SVT-P-FLOWER-MPRO-108W-35 (27Wx4) трос"/>
        <s v="SVT-P-FLOWER-MPRO-108W-65 (27Wx4) трос"/>
        <s v="SVT-P-FLOWER-MPRO-162W-35 (27Wx6) трос"/>
        <s v="SVT-P-FLOWER-MPRO-162W-65 (27Wx6) трос"/>
        <s v="SVT-P-FLOWER-MPRO-159W-35 (53Wx3) трос"/>
        <s v="SVT-P-FLOWER-MPRO-159W-65 (53Wx3) трос"/>
        <s v="SVT-P-FLOWER-MPRO-212W-35 (53Wx4) трос"/>
        <s v="SVT-P-FLOWER-MPRO-212W-65 (53Wx4) трос"/>
        <s v="SVT-P-FLOWER-MPRO-318W-35 (53Wx6) трос"/>
        <s v="SVT-P-FLOWER-MPRO-318W-65 (53Wx6) трос"/>
        <s v="SVT-STR-Bolid-120W-45x140"/>
        <s v="SVT-STR-Bolid-120W-30"/>
        <s v="SVT-STR-Bolid-120W-60"/>
        <s v="SVT-STR-Bolid-180W-45x140"/>
        <s v="SVT-STR-Bolid-180W-30"/>
        <s v="SVT-STR-Bolid-180W-60"/>
        <s v="SVT-STR-Bolid-240W-45x140"/>
        <s v="SVT-STR-Bolid-240W-30"/>
        <s v="SVT-STR-Bolid-240W-60"/>
        <s v="SVT-STR-BM-30W-45x140"/>
        <s v="SVT-STR-BM-30W-30"/>
        <s v="SVT-STR-BM-30W-60"/>
        <s v="SVT-STR-BM-30W-90"/>
        <s v="SVT-STR-BM-45W-45x140"/>
        <s v="SVT-STR-BM-45W-30"/>
        <s v="SVT-STR-BM-45W-60"/>
        <s v="SVT-STR-BM-45W-90"/>
        <s v="SVT-STR-BM-60W-45x140"/>
        <s v="SVT-STR-BM-60W-30"/>
        <s v="SVT-STR-BM-60W-60"/>
        <s v="SVT-STR-BM-60W-90"/>
        <s v="SVT-STR-BM-90W-45x140"/>
        <s v="SVT-STR-BM-90W-30"/>
        <s v="SVT-STR-BM-90W-60"/>
        <s v="SVT-STR-BM-90W-90"/>
        <s v="SVT-STR-BM-60W-45x140-DUO"/>
        <s v="SVT-STR-BM-60W-30-DUO"/>
        <s v="SVT-STR-BM-60W-60-DUO"/>
        <s v="SVT-STR-BM-60W-90-DUO"/>
        <s v="SVT-STR-BM-90W-45x140-DUO"/>
        <s v="SVT-STR-BM-90W-30-DUO"/>
        <s v="SVT-STR-BM-90W-60-DUO"/>
        <s v="SVT-STR-BM-90W-90-DUO"/>
        <s v="SVT-STR-BM-45W-30-TRIO"/>
        <s v="SVT-STR-BM-45W-60-TRIO"/>
        <s v="SVT-STR-BM-45W-90-TRIO"/>
        <s v="SVT-STR-BM-45W-45x140-TRIO"/>
        <s v="SVT-STR-BM-60W-30-TRIO"/>
        <s v="SVT-STR-BM-60W-60-TRIO"/>
        <s v="SVT-STR-BM-60W-90-TRIO"/>
        <s v="SVT-STR-BM-60W-45x140-TRIO"/>
        <s v="SVT-STR-M-COB-60W-38"/>
        <s v="SVT-STR-M-COB-60W-45"/>
        <s v="SVT-STR-M-COB-60W-60"/>
        <s v="SVT-STR-M-COB-60W-90"/>
        <s v="SVT-STR-M-COB-60W-135x75"/>
        <s v="SVT-STR-M-COB-60W-135x75-C"/>
        <s v="SVT-STR-M-COB-60W-120"/>
        <s v="SVT-STR-M-COB-120W-38"/>
        <s v="SVT-STR-M-COB-120W-45"/>
        <s v="SVT-STR-M-COB-120W-60"/>
        <s v="SVT-STR-M-COB-120W-90"/>
        <s v="SVT-STR-M-COB-120W-135x75"/>
        <s v="SVT-STR-M-COB-120W-135x75-C"/>
        <s v="SVT-STR-M-COB-120W-120"/>
        <s v="SVT-STR-M-COB-180W-38"/>
        <s v="SVT-STR-M-COB-180W-45"/>
        <s v="SVT-STR-M-COB-180W-60"/>
        <s v="SVT-STR-M-COB-180W-90"/>
        <s v="SVT-STR-M-COB-180W-135x75"/>
        <s v="SVT-STR-M-COB-180W-135x75-C"/>
        <s v="SVT-STR-M-COB-180W-120"/>
        <s v="SVT-STR-M-COB-120W-38-DUO"/>
        <s v="SVT-STR-M-COB-120W-45-DUO"/>
        <s v="SVT-STR-M-COB-120W-60-DUO"/>
        <s v="SVT-STR-M-COB-120W-90-DUO"/>
        <s v="SVT-STR-M-COB-120W-135x75-DUO"/>
        <s v="SVT-STR-M-COB-120W-135x75-DUO-C"/>
        <s v="SVT-STR-M-COB-120W-120-DUO"/>
        <s v="SVT-P-I-1200-31W-M"/>
        <s v="SVT-P-I-1200-36W-M"/>
        <s v="SVT-P-I-v2-300-12W-IP65-M"/>
        <s v="SVT-P-I-v2-400-18W-IP65-M"/>
        <s v="SVT-P-I-v2-600-24W-IP65-M"/>
        <s v="SVT-P-I-v2-900-36W-IP65-M"/>
        <s v="SVT-P-I-v2-1200-48W-IP65-M"/>
        <s v="SVT-P-I-v2-1500-60W-IP65-M"/>
        <s v="SVT-P-I-1262-30W-T"/>
        <s v="SVT-P-I-1262-30W-M"/>
        <s v="SVT-P-I-1262-40W-T"/>
        <s v="SVT-P-I-1262-40W-M"/>
        <s v="SVT-P-I-1280-50W-T"/>
        <s v="SVT-P-I-1280-50W-M"/>
        <s v="SVT-P-I-1280-65W-T"/>
        <s v="SVT-P-I-1280-65W-M"/>
        <s v="SVT-STR-M-16W"/>
        <s v="SVT-STR-M-24W"/>
        <s v="SVT-STR-M-32W"/>
        <s v="SVT-STR-M-48W"/>
        <s v="SVT-STR-M-61W"/>
        <s v="SVT-STR-M-16W (с защитой от 380)"/>
        <s v="SVT-STR-M-24W (с защитой от 380)"/>
        <s v="SVT-STR-M-32W (с защитой от 380)"/>
        <s v="SVT-STR-M-48W (с защитой от 380)"/>
        <s v="SVT-STR-M-61W (с защитой от 380)"/>
        <s v="SVT-STR-M-80W"/>
        <s v="SVT-STR-M-96W"/>
        <s v="SVT-STR-M-16W-C"/>
        <s v="SVT-STR-M-24W-C"/>
        <s v="SVT-STR-M-32W-C"/>
        <s v="SVT-STR-M-48W-C"/>
        <s v="SVT-STR-M-61W-C"/>
        <s v="SVT-STR-M-16W-C (с защитой от 380)"/>
        <s v="SVT-STR-M-24W-C (с защитой от 380)"/>
        <s v="SVT-STR-M-32W-C (с защитой от 380)"/>
        <s v="SVT-STR-M-48W-C (с защитой от 380)"/>
        <s v="SVT-STR-M-61W-C (с защитой от 380)"/>
        <s v="SVT-STR-M-80W-C"/>
        <s v="SVT-STR-M-96W-C"/>
        <s v="SVT-STR-M-32W-Go"/>
        <s v="SVT-STR-M-48W-Go"/>
        <s v="SVT-STR-M-32W-Go-DUO"/>
        <s v="SVT-STR-M-48W-Go-DUO"/>
        <s v="SVT-STR-M-27W-20"/>
        <s v="SVT-STR-M-27W-35"/>
        <s v="SVT-STR-M-27W-65"/>
        <s v="SVT-STR-M-27W-100"/>
        <s v="SVT-STR-M-27W-30x120"/>
        <s v="SVT-STR-M-27W-VSM"/>
        <s v="SVT-STR-M-27W-45x140-C"/>
        <s v="SVT-STR-M-27W-45x140"/>
        <s v="SVT-STR-M-27W-20 (с защитой от 380)"/>
        <s v="SVT-STR-M-27W-35 (с защитой от 380)"/>
        <s v="SVT-STR-M-27W-65 (с защитой от 380)"/>
        <s v="SVT-STR-M-27W-100 (с защитой от 380)"/>
        <s v="SVT-STR-M-27W-30x120 (с защитой от 380)"/>
        <s v="SVT-STR-M-27W-VSM (с защитой от 380)"/>
        <s v="SVT-STR-M-27W-45x140-C (с защитой от 380)"/>
        <s v="SVT-STR-M-27W-45x140 (с защитой от 380)"/>
        <s v="SVT-STR-M-53W-20"/>
        <s v="SVT-STR-M-53W-35"/>
        <s v="SVT-STR-M-53W-65"/>
        <s v="SVT-STR-M-53W-100"/>
        <s v="SVT-STR-M-53W-30x120"/>
        <s v="SVT-STR-M-53W-VSM"/>
        <s v="SVT-STR-M-53W-45x140-C"/>
        <s v="SVT-STR-M-53W-45x140"/>
        <s v="SVT-STR-M-53W-20 (с защитой от 380)"/>
        <s v="SVT-STR-M-53W-35 (с защитой от 380)"/>
        <s v="SVT-STR-M-53W-65 (с защитой от 380)"/>
        <s v="SVT-STR-M-53W-100 (с защитой от 380)"/>
        <s v="SVT-STR-M-53W-30x120 (с защитой от 380)"/>
        <s v="SVT-STR-M-53W-VSM (с защитой от 380)"/>
        <s v="SVT-STR-M-53W-45x140-C (с защитой от 380)"/>
        <s v="SVT-STR-M-53W-45x140 (с защитой от 380)"/>
        <s v="SVT-STR-M-79W-20"/>
        <s v="SVT-STR-M-79W-35"/>
        <s v="SVT-STR-M-79W-65"/>
        <s v="SVT-STR-M-79W-100"/>
        <s v="SVT-STR-M-79W-30x120"/>
        <s v="SVT-STR-M-79W-VSM"/>
        <s v="SVT-STR-M-79W-45x140-C"/>
        <s v="SVT-STR-M-79W-45x140"/>
        <s v="SVT-STR-M-32W-DUO"/>
        <s v="SVT-STR-M-32W-DUO-C"/>
        <s v="SVT-STR-M-32W-DUO90"/>
        <s v="SVT-STR-M-32W-DUO90-C"/>
        <s v="SVT-STR-M-32W-TRIO"/>
        <s v="SVT-STR-M-32W-TRIO-C"/>
        <s v="SVT-STR-M-32W-TRIO90"/>
        <s v="SVT-STR-M-32W-TRIO90-C"/>
        <s v="SVT-STR-M-48W-DUO"/>
        <s v="SVT-STR-M-48W-DUO-C"/>
        <s v="SVT-STR-M-48W-DUO90"/>
        <s v="SVT-STR-M-48W-DUO90-C"/>
        <s v="SVT-STR-M-48W-TRIO"/>
        <s v="SVT-STR-M-48W-TRIO-C"/>
        <s v="SVT-STR-M-48W-TRIO90"/>
        <s v="SVT-STR-M-48W-TRIO90-C"/>
        <s v="SVT-STR-M-61W-DUO"/>
        <s v="SVT-STR-M-61W-DUO-C"/>
        <s v="SVT-STR-M-61W-DUO90"/>
        <s v="SVT-STR-M-61W-DUO90-C"/>
        <s v="SVT-STR-M-61W-TRIO"/>
        <s v="SVT-STR-M-61W-TRIO-C"/>
        <s v="SVT-STR-M-61W-TRIO90"/>
        <s v="SVT-STR-M-61W-TRIO90-C"/>
        <s v="SVT-STR-M-32W-DUO (с защитой от 380)"/>
        <s v="SVT-STR-M-32W-DUO-C (с защитой от 380)"/>
        <s v="SVT-STR-M-32W-DUO90 (с защитой от 380)"/>
        <s v="SVT-STR-M-32W-DUO90-C (с защитой от 380)"/>
        <s v="SVT-STR-M-32W-TRIO (с защитой от 380)"/>
        <s v="SVT-STR-M-32W-TRIO-C (с защитой от 380)"/>
        <s v="SVT-STR-M-32W-TRIO90 (с защитой от 380)"/>
        <s v="SVT-STR-M-32W-TRIO90-C (с защитой от 380)"/>
        <s v="SVT-STR-M-48W-DUO (с защитой от 380)"/>
        <s v="SVT-STR-M-48W-DUO-C (с защитой от 380)"/>
        <s v="SVT-STR-M-48W-DUO90 (с защитой от 380)"/>
        <s v="SVT-STR-M-48W-DUO90-C (с защитой от 380)"/>
        <s v="SVT-STR-M-48W-TRIO (с защитой от 380)"/>
        <s v="SVT-STR-M-48W-TRIO-C (с защитой от 380)"/>
        <s v="SVT-STR-M-48W-TRIO90 (с защитой от 380)"/>
        <s v="SVT-STR-M-48W-TRIO90-C (с защитой от 380)"/>
        <s v="SVT-STR-M-61W-DUO (с защитой от 380)"/>
        <s v="SVT-STR-M-61W-DUO-C (с защитой от 380)"/>
        <s v="SVT-STR-M-61W-DUO90 (с защитой от 380)"/>
        <s v="SVT-STR-M-61W-DUO90-C (с защитой от 380)"/>
        <s v="SVT-STR-M-61W-TRIO (с защитой от 380)"/>
        <s v="SVT-STR-M-61W-TRIO-C (с защитой от 380)"/>
        <s v="SVT-STR-M-61W-TRIO90 (с защитой от 380)"/>
        <s v="SVT-STR-M-61W-TRIO90-C (с защитой от 380)"/>
        <s v="SVT-STR-M-80W-DUO"/>
        <s v="SVT-STR-M-80W-DUO-C"/>
        <s v="SVT-STR-M-80W-TRIO"/>
        <s v="SVT-STR-M-80W-TRIO-C"/>
        <s v="SVT-STR-M-80W-QUATTRO"/>
        <s v="SVT-STR-M-80W-PENTA"/>
        <s v="SVT-STR-M-96W-DUO"/>
        <s v="SVT-STR-M-96W-DUO-C"/>
        <s v="SVT-STR-M-96W-DUO90-C"/>
        <s v="SVT-STR-M-96W-TRIO"/>
        <s v="SVT-STR-M-96W-TRIO-C"/>
        <s v="SVT-STR-M-96W-QUATTRO"/>
        <s v="SVT-STR-M-96W-PENTA"/>
        <s v="SVT-STR-M-27W-45x140-DUO-С"/>
        <s v="SVT-STR-M-27W-45x140-DUO"/>
        <s v="SVT-STR-M-27W-20-DUO"/>
        <s v="SVT-STR-M-27W-35-DUO"/>
        <s v="SVT-STR-M-27W-65-DUO"/>
        <s v="SVT-STR-M-27W-100-DUO"/>
        <s v="SVT-STR-M-27W-30x120-DUO"/>
        <s v="SVT-STR-M-27W-VSM-DUO"/>
        <s v="SVT-STR-M-27W-45x140-DUO-С (с защитой от 380)"/>
        <s v="SVT-STR-M-27W-45x140-DUO (с защитой от 380)"/>
        <s v="SVT-STR-M-27W-20-DUO (с защитой от 380)"/>
        <s v="SVT-STR-M-27W-35-DUO (с защитой от 380)"/>
        <s v="SVT-STR-M-27W-65-DUO (с защитой от 380)"/>
        <s v="SVT-STR-M-27W-100-DUO (с защитой от 380)"/>
        <s v="SVT-STR-M-27W-30x120-DUO (с защитой от 380)"/>
        <s v="SVT-STR-M-27W-VSM-DUO (с защитой от 380)"/>
        <s v="SVT-STR-M-53W-45x140-DUO-С"/>
        <s v="SVT-STR-M-53W-45x140-DUO"/>
        <s v="SVT-STR-M-53W-20-DUO"/>
        <s v="SVT-STR-M-53W-35-DUO"/>
        <s v="SVT-STR-M-53W-65-DUO"/>
        <s v="SVT-STR-M-53W-100-DUO"/>
        <s v="SVT-STR-M-53W-30x120-DUO"/>
        <s v="SVT-STR-M-53W-VSM-DUO"/>
        <s v="SVT-STR-M-53W-45x140-DUO-С (с защитой от 380)"/>
        <s v="SVT-STR-M-53W-45x140-DUO (с защитой от 380)"/>
        <s v="SVT-STR-M-53W-20-DUO (с защитой от 380)"/>
        <s v="SVT-STR-M-53W-35-DUO (с защитой от 380)"/>
        <s v="SVT-STR-M-53W-65-DUO (с защитой от 380)"/>
        <s v="SVT-STR-M-53W-100-DUO (с защитой от 380)"/>
        <s v="SVT-STR-M-53W-30x120-DUO (с защитой от 380)"/>
        <s v="SVT-STR-M-53W-VSM-DUO (с защитой от 380)"/>
        <s v="SVT-STR-M-79W-45x140-DUO-С"/>
        <s v="SVT-STR-M-79W-45x140-DUO"/>
        <s v="SVT-STR-M-79W-20-DUO"/>
        <s v="SVT-STR-M-79W-35-DUO"/>
        <s v="SVT-STR-M-79W-65-DUO"/>
        <s v="SVT-STR-M-79W-100-DUO"/>
        <s v="SVT-STR-M-79W-30x120-DUO"/>
        <s v="SVT-STR-M-79W-VSM-DUO"/>
        <s v="SVT-STR-M-27W-45x140-TRIO-С"/>
        <s v="SVT-STR-M-27W-45x140-TRIO"/>
        <s v="SVT-STR-M-27W-20-TRIO"/>
        <s v="SVT-STR-M-27W-35-TRIO"/>
        <s v="SVT-STR-M-27W-65-TRIO"/>
        <s v="SVT-STR-M-27W-100-TRIO"/>
        <s v="SVT-STR-M-27W-30x120-TRIO"/>
        <s v="SVT-STR-M-27W-VSM-TRIO"/>
        <s v="SVT-STR-M-27W-45x140-TRIO-С (с защитой от 380)"/>
        <s v="SVT-STR-M-27W-45x140-TRIO (с защитой от 380)"/>
        <s v="SVT-STR-M-27W-20-TRIO (с защитой от 380)"/>
        <s v="SVT-STR-M-27W-35-TRIO (с защитой от 380)"/>
        <s v="SVT-STR-M-27W-65-TRIO (с защитой от 380)"/>
        <s v="SVT-STR-M-27W-100-TRIO (с защитой от 380)"/>
        <s v="SVT-STR-M-27W-30x120-TRIO (с защитой от 380)"/>
        <s v="SVT-STR-M-27W-VSM-TRIO (с защитой от 380)"/>
        <s v="SVT-STR-M-53W-45x140-TRIO-С"/>
        <s v="SVT-STR-M-53W-45x140-TRIO"/>
        <s v="SVT-STR-M-53W-20-TRIO"/>
        <s v="SVT-STR-M-53W-35-TRIO"/>
        <s v="SVT-STR-M-53W-65-TRIO"/>
        <s v="SVT-STR-M-53W-100-TRIO"/>
        <s v="SVT-STR-M-53W-30x120-TRIO"/>
        <s v="SVT-STR-M-53W-VSM-TRIO"/>
        <s v="SVT-STR-M-53W-45x140-TRIO-С (с защитой от 380)"/>
        <s v="SVT-STR-M-53W-45x140-TRIO (с защитой от 380)"/>
        <s v="SVT-STR-M-53W-20-TRIO (с защитой от 380)"/>
        <s v="SVT-STR-M-53W-35-TRIO (с защитой от 380)"/>
        <s v="SVT-STR-M-53W-65-TRIO (с защитой от 380)"/>
        <s v="SVT-STR-M-53W-100-TRIO (с защитой от 380)"/>
        <s v="SVT-STR-M-53W-30x120-TRIO (с защитой от 380)"/>
        <s v="SVT-STR-M-53W-VSM-TRIO (с защитой от 380)"/>
        <s v="SVT-STR-M-79W-45x140-TRIO-С"/>
        <s v="SVT-STR-M-79W-45x140-TRIO"/>
        <s v="SVT-STR-M-79W-20-TRIO"/>
        <s v="SVT-STR-M-79W-35-TRIO"/>
        <s v="SVT-STR-M-79W-65-TRIO"/>
        <s v="SVT-STR-M-79W-100-TRIO"/>
        <s v="SVT-STR-M-79W-30x120-TRIO"/>
        <s v="SVT-STR-M-79W-VSM-TRIO"/>
        <s v="SVT-STR-M-53W-45x140-QUATTRO"/>
        <s v="SVT-STR-M-53W-20-QUATTRO"/>
        <s v="SVT-STR-M-53W-35-QUATTRO"/>
        <s v="SVT-STR-M-53W-65-QUATTRO"/>
        <s v="SVT-STR-M-53W-100-QUATTRO"/>
        <s v="SVT-STR-M-53W-30x120-QUATTRO"/>
        <s v="SVT-STR-M-53W-VSM-QUATTRO"/>
        <s v="SVT-STR-M-53W-45x140-QUATTRO (с защитой от 380)"/>
        <s v="SVT-STR-M-53W-20-QUATTRO (с защитой от 380)"/>
        <s v="SVT-STR-M-53W-35-QUATTRO (с защитой от 380)"/>
        <s v="SVT-STR-M-53W-65-QUATTRO (с защитой от 380)"/>
        <s v="SVT-STR-M-53W-100-QUATTRO (с защитой от 380)"/>
        <s v="SVT-STR-M-53W-30x120-QUATTRO (с защитой от 380)"/>
        <s v="SVT-STR-M-53W-VSM-QUATTRO (с защитой от 380)"/>
        <s v="SVT-STR-M-79W-45x140-QUATTRO"/>
        <s v="SVT-STR-M-79W-20-QUATTRO"/>
        <s v="SVT-STR-M-79W-35-QUATTRO"/>
        <s v="SVT-STR-M-79W-65-QUATTRO"/>
        <s v="SVT-STR-M-79W-100-QUATTRO"/>
        <s v="SVT-STR-M-79W-30x120-QUATTRO"/>
        <s v="SVT-STR-M-79W-VSM-QUATTRO"/>
        <s v="SVT-STR-M-53W-45x140-PENTA"/>
        <s v="SVT-STR-M-53W-20-PENTA"/>
        <s v="SVT-STR-M-53W-35-PENTA"/>
        <s v="SVT-STR-M-53W-65-PENTA"/>
        <s v="SVT-STR-M-53W-100-PENTA"/>
        <s v="SVT-STR-M-53W-30x120-PENTA"/>
        <s v="SVT-STR-M-53W-VSM-PENTA"/>
        <s v="SVT-STR-M-53W-45x140-PENTA (с защитой от 380)"/>
        <s v="SVT-STR-M-53W-20-PENTA (с защитой от 380)"/>
        <s v="SVT-STR-M-53W-35-PENTA (с защитой от 380)"/>
        <s v="SVT-STR-M-53W-65-PENTA (с защитой от 380)"/>
        <s v="SVT-STR-M-53W-100-PENTA (с защитой от 380)"/>
        <s v="SVT-STR-M-53W-30x120-PENTA (с защитой от 380)"/>
        <s v="SVT-STR-M-53W-VSM-PENTA (с защитой от 380)"/>
        <s v="SVT-STR-M-79W-45x140-PENTA"/>
        <s v="SVT-STR-M-79W-20-PENTA"/>
        <s v="SVT-STR-M-79W-35-PENTA"/>
        <s v="SVT-STR-M-79W-65-PENTA"/>
        <s v="SVT-STR-M-79W-100-PENTA"/>
        <s v="SVT-STR-M-79W-30x120-PENTA"/>
        <s v="SVT-STR-M-79W-VSM-PENTA"/>
        <s v="SVT-STR-MV-64W"/>
        <s v="SVT-STR-MV-96W"/>
        <s v="SVT-STR-MV-122W"/>
        <s v="SVT-STR-MV-64W (с защитой от 380)"/>
        <s v="SVT-STR-MV-96W (с защитой от 380)"/>
        <s v="SVT-STR-MV-122W (с защитой от 380)"/>
        <s v="SVT-STR-M-CRI80-27W-30"/>
        <s v="SVT-STR-M-CRI80-27W-60"/>
        <s v="SVT-STR-M-CRI80-27W-90"/>
        <s v="SVT-STR-M-CRI80-27W-VSM"/>
        <s v="SVT-STR-M-CRI80-27W-157x90"/>
        <s v="SVT-STR-M-CRI80-27W-157x90-C"/>
        <s v="SVT-STR-M-CRI80-55W-30"/>
        <s v="SVT-STR-M-CRI80-55W-60"/>
        <s v="SVT-STR-M-CRI80-55W-90"/>
        <s v="SVT-STR-M-CRI80-55W-VSM"/>
        <s v="SVT-STR-M-CRI80-55W-157x90"/>
        <s v="SVT-STR-M-CRI80-55W-157x90-C"/>
        <s v="SVT-STR-M-CRI80-81W-30"/>
        <s v="SVT-STR-M-CRI80-81W-60"/>
        <s v="SVT-STR-M-CRI80-81W-90"/>
        <s v="SVT-STR-M-CRI80-81W-VSM"/>
        <s v="SVT-STR-M-CRI80-81W-157x90"/>
        <s v="SVT-STR-M-CRI80-81W-157x90-C"/>
        <s v="SVT-STR-M-CRI80-27W-30 (с защитой от 380)"/>
        <s v="SVT-STR-M-CRI80-27W-60 (с защитой от 380)"/>
        <s v="SVT-STR-M-CRI80-27W-90 (с защитой от 380)"/>
        <s v="SVT-STR-M-CRI80-27W-VSM (с защитой от 380)"/>
        <s v="SVT-STR-M-CRI80-27W-157x90 (с защитой от 380)"/>
        <s v="SVT-STR-M-CRI80-27W-157x90-C (с защитой от 380)"/>
        <s v="SVT-STR-M-CRI80-55W-30 (с защитой от 380)"/>
        <s v="SVT-STR-M-CRI80-55W-60 (с защитой от 380)"/>
        <s v="SVT-STR-M-CRI80-55W-90 (с защитой от 380)"/>
        <s v="SVT-STR-M-CRI80-55W-VSM (с защитой от 380)"/>
        <s v="SVT-STR-M-CRI80-55W-157x90 (с защитой от 380)"/>
        <s v="SVT-STR-M-CRI80-55W-157x90-C (с защитой от 380)"/>
        <s v="SVT-ARH-Direct-150-6W-120"/>
        <s v="SVT-ARH-Direct-150-6W-8 "/>
        <s v="SVT-ARH-Direct-150-6W-15"/>
        <s v="SVT-ARH-Direct-150-6W-25"/>
        <s v="SVT-ARH-Direct-150-6W-45"/>
        <s v="SVT-ARH-Direct-150-6W-10х60"/>
        <s v="SVT-ARH-Direct-300-12W-120"/>
        <s v="SVT-ARH-Direct-300-12W-8"/>
        <s v="SVT-ARH-Direct-300-12W-15"/>
        <s v="SVT-ARH-Direct-300-12W-25"/>
        <s v="SVT-ARH-Direct-300-12W-45"/>
        <s v="SVT-ARH-Direct-300-12W-10х60"/>
        <s v="SVT-ARH-Direct-450-19W-120"/>
        <s v="SVT-ARH-Direct-450-19W-8"/>
        <s v="SVT-ARH-Direct-450-19W-15"/>
        <s v="SVT-ARH-Direct-450-19W-25"/>
        <s v="SVT-ARH-Direct-450-19W-45"/>
        <s v="SVT-ARH-Direct-450-19W-10х60"/>
        <s v="SVT-ARH-Direct-600-25W-120"/>
        <s v="SVT-ARH-Direct-600-25W-8"/>
        <s v="SVT-ARH-Direct-600-25W-15"/>
        <s v="SVT-ARH-Direct-600-25W-25"/>
        <s v="SVT-ARH-Direct-600-25W-45"/>
        <s v="SVT-ARH-Direct-600-25W-10х60"/>
        <s v="SVT-ARH-Direct-750-31W-120"/>
        <s v="SVT-ARH-Direct-750-31W-8"/>
        <s v="SVT-ARH-Direct-750-31W-15"/>
        <s v="SVT-ARH-Direct-750-31W-25"/>
        <s v="SVT-ARH-Direct-750-31W-45"/>
        <s v="SVT-ARH-Direct-750-31W-10х60"/>
        <s v="SVT-ARH-Direct-900-37W-120"/>
        <s v="SVT-ARH-Direct-900-37W-8"/>
        <s v="SVT-ARH-Direct-900-37W-15"/>
        <s v="SVT-ARH-Direct-900-37W-25"/>
        <s v="SVT-ARH-Direct-900-37W-45"/>
        <s v="SVT-ARH-Direct-900-37W-10х60"/>
        <s v="SVT-ARH-Direct-1200-50W-120"/>
        <s v="SVT-ARH-Direct-1200-50W-8"/>
        <s v="SVT-ARH-Direct-1200-50W-15"/>
        <s v="SVT-ARH-Direct-1200-50W-25"/>
        <s v="SVT-ARH-Direct-1200-50W-45"/>
        <s v="SVT-ARH-Direct-1200-50W-10х60"/>
        <s v="SVT-ARH-Direct-1500-62W-120"/>
        <s v="SVT-ARH-Direct-1500-62W-8"/>
        <s v="SVT-ARH-Direct-1500-62W-15"/>
        <s v="SVT-ARH-Direct-1500-62W-25"/>
        <s v="SVT-ARH-Direct-1500-62W-45"/>
        <s v="SVT-ARH-Direct-1500-62W-10х60"/>
        <s v="SVT-ARH-Direct-300-26W-8-TRIO"/>
        <s v="SVT-ARH-Direct-300-26W-15-TRIO"/>
        <s v="SVT-ARH-Direct-300-26W-25-TRIO"/>
        <s v="SVT-ARH-Direct-300-26W-45-TRIO"/>
        <s v="SVT-ARH-Direct-300-26W-8-QUATTRO"/>
        <s v="SVT-ARH-Direct-300-26W-15-QUATTRO"/>
        <s v="SVT-ARH-Direct-300-26W-25-QUATTRO"/>
        <s v="SVT-ARH-Direct-300-26W-45-QUATTRO"/>
        <s v="SVT-ARH-Direct-450-39W-8-TRIO"/>
        <s v="SVT-ARH-Direct-450-39W-15-TRIO"/>
        <s v="SVT-ARH-Direct-450-39W-25-TRIO"/>
        <s v="SVT-ARH-Direct-450-39W-45-TRIO"/>
        <s v="SVT-ARH-Direct-450-39W-8-QUATTRO"/>
        <s v="SVT-ARH-Direct-450-39W-15-QUATTRO"/>
        <s v="SVT-ARH-Direct-450-39W-25-QUATTRO"/>
        <s v="SVT-ARH-Direct-450-39W-45-QUATTRO"/>
        <s v="SVT-ARH-Direct-600-52W-8-TRIO"/>
        <s v="SVT-ARH-Direct-600-52W-15-TRIO"/>
        <s v="SVT-ARH-Direct-600-52W-25-TRIO"/>
        <s v="SVT-ARH-Direct-600-52W-45-TRIO"/>
        <s v="SVT-ARH-Direct-600-52W-8-QUATTRO"/>
        <s v="SVT-ARH-Direct-600-52W-15-QUATTRO"/>
        <s v="SVT-ARH-Direct-600-52W-25-QUATTRO"/>
        <s v="SVT-ARH-Direct-600-52W-45-QUATTRO"/>
        <s v="SVT-ARH-Direct-750-65W-8-TRIO"/>
        <s v="SVT-ARH-Direct-750-65W-15-TRIO"/>
        <s v="SVT-ARH-Direct-750-65W-25-TRIO"/>
        <s v="SVT-ARH-Direct-750-65W-45-TRIO"/>
        <s v="SVT-ARH-Direct-750-65W-8-QUATTRO"/>
        <s v="SVT-ARH-Direct-750-65W-15-QUATTRO"/>
        <s v="SVT-ARH-Direct-750-65W-25-QUATTRO"/>
        <s v="SVT-ARH-Direct-750-65W-45-QUATTRO"/>
        <s v="SVT-ARH-Direct-900-77W-8-TRIO"/>
        <s v="SVT-ARH-Direct-900-77W-15-TRIO"/>
        <s v="SVT-ARH-Direct-900-77W-25-TRIO"/>
        <s v="SVT-ARH-Direct-900-77W-45-TRIO"/>
        <s v="SVT-ARH-Direct-900-77W-8-QUATTRO"/>
        <s v="SVT-ARH-Direct-900-77W-15-QUATTRO"/>
        <s v="SVT-ARH-Direct-900-77W-25-QUATTRO"/>
        <s v="SVT-ARH-Direct-900-77W-45-QUATTRO"/>
        <s v="SVT-ARH-CUBE-13W-8"/>
        <s v="SVT-ARH-CUBE-13W-15"/>
        <s v="SVT-ARH-CUBE-13W-25"/>
        <s v="SVT-ARH-CUBE-13W-45"/>
        <s v="SVT-ARH-CUBE-25W-8"/>
        <s v="SVT-ARH-CUBE-25W-15"/>
        <s v="SVT-ARH-CUBE-25W-25"/>
        <s v="SVT-ARH-CUBE-25W-45"/>
        <s v="SVT-ARH-CUBE-40W-8"/>
        <s v="SVT-ARH-CUBE-40W-15"/>
        <s v="SVT-ARH-CUBE-40W-25"/>
        <s v="SVT-ARH-CUBE-40W-45"/>
        <s v="SVT-ARH-Luch-1010-36W-120-24V DC-KR"/>
        <s v="SVT-ARH-Luch-1010-36W-15-24V DC-KR"/>
        <s v="SVT-ARH-Luch-1010-36W-25-24V DC-KR"/>
        <s v="SVT-ARH-Luch-1010-36W-45-24V DC-KR"/>
        <s v="SVT-ARH-Luch-1010-36W-10x60-24V DC-KR"/>
        <s v="SVT-ARH-Luch-685-24W-120-24V DC-KR"/>
        <s v="SVT-ARH-Luch-685-24W-15-24V DC-KR"/>
        <s v="SVT-ARH-Luch-685-24W-25-24V DC-KR"/>
        <s v="SVT-ARH-Luch-685-24W-45-24V DC-KR"/>
        <s v="SVT-ARH-Luch-685-24W-10x60-24V DC-KR"/>
        <s v="SVT-ARH-Luch-360-12W-120-24V DC-KR"/>
        <s v="SVT-ARH-Luch-360-12W-15-24V DC-KR"/>
        <s v="SVT-ARH-Luch-360-12W-25-24V DC-KR"/>
        <s v="SVT-ARH-Luch-360-12W-45-24V DC-KR"/>
        <s v="SVT-ARH-Luch-360-12W-10x60-24V DC-KR"/>
        <s v="SVT-ARH-DS-27W-12"/>
        <s v="SVT-ARH-DS-27W-27"/>
        <s v="SVT-ARH-DS-27W-58"/>
        <s v="SVT-STR-RGB-MPRO-27W-58-DMX"/>
        <s v="SVT-STR-RGB-MPRO-53W-58-DMX"/>
        <s v="SVT-STR-M-24W-12-RED"/>
        <s v="SVT-STR-M-24W-27-RED"/>
        <s v="SVT-STR-M-24W-58-RED"/>
        <s v="SVT-STR-M-38W-12-RED"/>
        <s v="SVT-STR-M-38W-27-RED"/>
        <s v="SVT-STR-M-38W-58-RED"/>
        <s v="SVT-STR-M-58W-12-RED"/>
        <s v="SVT-STR-M-58W-27-RED"/>
        <s v="SVT-STR-M-58W-58-RED"/>
        <s v="SVT-STR-M-30W-12-GREEN"/>
        <s v="SVT-STR-M-30W-27-GREEN"/>
        <s v="SVT-STR-M-30W-58-GREEN"/>
        <s v="SVT-STR-M-60W-12-GREEN"/>
        <s v="SVT-STR-M-60W-27-GREEN"/>
        <s v="SVT-STR-M-60W-58-GREEN"/>
        <s v="SVT-STR-M-90W-12-GREEN"/>
        <s v="SVT-STR-M-90W-27-GREEN"/>
        <s v="SVT-STR-M-90W-58-GREEN"/>
        <s v="SVT-STR-M-30W-12-BLUE"/>
        <s v="SVT-STR-M-30W-27-BLUE"/>
        <s v="SVT-STR-M-30W-58-BLUE"/>
        <s v="SVT-STR-M-60W-12-BLUE"/>
        <s v="SVT-STR-M-60W-27-BLUE"/>
        <s v="SVT-STR-M-60W-58-BLUE"/>
        <s v="SVT-STR-M-90W-12-BLUE"/>
        <s v="SVT-STR-M-90W-27-BLUE"/>
        <s v="SVT-STR-M-90W-58-BLUE"/>
        <s v="SVT-STR-M-30W-12-AMBER"/>
        <s v="SVT-STR-M-30W-27-AMBER"/>
        <s v="SVT-STR-M-30W-58-AMBER"/>
        <s v="SVT-STR-M-60W-12-AMBER"/>
        <s v="SVT-STR-M-60W-27-AMBER"/>
        <s v="SVT-STR-M-60W-58-AMBER"/>
        <s v="SVT-STR-M-90W-12-AMBER"/>
        <s v="SVT-STR-M-90W-27-AMBER"/>
        <s v="SVT-STR-M-90W-58-AMBER"/>
        <s v="SVT-STR-Ball-300-40W-M"/>
        <s v="SVT-STR-Ball-300-40W-T"/>
        <s v="SVT-STR-Ball-300-40W-G"/>
        <s v="SVT-STR-Ball-300-30W-M"/>
        <s v="SVT-STR-Ball-300-30W-T"/>
        <s v="SVT-STR-Ball-300-30W-G"/>
        <s v="SVT-STR-Retro-40W-M-3000K"/>
        <s v="SVT-STR-Retro-40W-M-4000K"/>
        <s v="SVT-STR-Retro-40W-M-5000K"/>
        <s v="SVT-ARM-U-AIR-595x595x34-31W-IP54-PR "/>
        <s v="SVT-ARM-U-AIR-595x595x34-31W-IP54-M"/>
        <s v="SVT-ARM-U-AIR-595x595x34-36W-IP54-PR"/>
        <s v="SVT-ARM-U-AIR-595x595x34-36W-IP54-M"/>
        <s v="SVT-ARM-U-AIR-1195x200x34-31W-IP54-PR "/>
        <s v="SVT-ARM-U-AIR-1195x200x34-36W-IP54-PR"/>
        <s v="SVT-ARM-U-1200x180x40-28W-PR"/>
        <s v="SVT-ARM-U-1200x180x40-38W-PR"/>
        <s v="SVT-ARM-U-595x295x40-18W-PR"/>
        <s v="SVT-ARM-RP-1240x290x90-36W-М-4000К"/>
        <s v="SVT-ARM-RP-706x310x100-18W-М-4000К"/>
        <s v="SVT-ARM-B-595x595x70-33W-IP54-ZR"/>
        <s v="SVT-ARM-B-595x595x70-37W-IP54-ZR"/>
        <s v="SVT-ARM-B-595x595x70-42W-IP54-ZR"/>
        <s v="SVT-ARM-U-595x595x40-28W-PR"/>
        <s v="SVT-ARM-U-595x595x40-38W-PR"/>
        <s v="SVT-ARM-U-595x595x40-47W-PR"/>
        <s v="SVT-ARM-G-588x588x40-28W-PR"/>
        <s v="SVT-ARM-G-588x588x40-38W-PR"/>
        <s v="SVT-ARM-G-588x588x40-47W-PR "/>
        <s v="SVT-ARM-N-595x595x40-28W-PR-IP54"/>
        <s v="SVT-ARM-N-595x595x40-38W-PR-IP54"/>
        <s v="SVT-ARM-N-595x595x40-47W-PR-IP54"/>
        <s v="SVT-ARM-B-595x595x40-28W-PR-IP54"/>
        <s v="SVT-ARM-B-595x595x40-38W-PR-IP54"/>
        <s v="SVT-ARM-B-595x595x40-47W-PR-IP54"/>
        <s v="SVT-ARM-Clip-in-27W-IP54-M-4000K"/>
        <s v="SVT-ARM-Clip-in-38W-IP54-M-4000K"/>
        <s v="SVT-ARM-Clip-in-47W-IP54-M-4000K "/>
        <s v="SVT-ARM-Panel-RZ-595x595x18-34W-IP40-M"/>
        <s v="SVT-ARM-Panel-RZ-1195x295x18-36W-IP40-M"/>
        <s v="SVT-OFF-Inray-900-36W-M-RB"/>
        <s v="SVT-OFF-Inray-1200-48W-M-RB"/>
        <s v="SVT-OFF-Inray-1500-60W-M-RB"/>
        <s v="SVT-OFF-Inray-900-36W-M-DALI-RB"/>
        <s v="SVT-OFF-Inray-1200-48W-M-DALI-RB"/>
        <s v="SVT-OFF-Inray-1500-60W-M-DALI-RB"/>
        <s v="SVT-OFF-Inray-1800-72W-M-DALI-RB"/>
        <s v="SVT-OFF-DL-30W-4000K"/>
        <s v="SVT-OFF-DL-30W-4000K-0-10V"/>
        <s v="SVT-OFF-DL-30W-4000K-DALI"/>
        <s v="SVT-OFF-DL-30W-4000K-IP54"/>
        <s v="SVT-RTL-B-L-28-48W-1200-PR"/>
        <s v="SVT-RTL-B-L-30-60W-1500-PR"/>
        <s v="SVT-STR-BLACKBOARD-15W-SK"/>
        <s v="SVT-ARM-U-595x595x40-28W-PR-SK"/>
        <s v="SVT-ARM-U-595x595x40-38W-PR-SK"/>
        <s v="SVT-ARM-U-595x595x40-47W-PR-SK"/>
        <s v="SVT-ARM-U-AIR-595x595x34-29W-IP54-PR-4000K-SC"/>
        <s v="SVT-ARM-U-AIR-1195x200x34-29W-IP54-PR-4000K-SC"/>
        <s v="SVT-ARM-U-AIR-595x595x34-29W-PR-InBat-IP54-SK"/>
        <s v="SVT-ARM-U-AIR-1195x200x34-29W-IP54-PR-InBat-SK"/>
        <s v="SVT-ARM-U-595x595x40-30W-PR-inBAT-2h-SK"/>
        <s v="SVT-OFF-DL-30W-4000K-SK"/>
        <s v="SVT-OFF-EM-6W-1h-SK (Без пиктограммы)"/>
        <s v="SVT-P-I-v2-400-18W-IP65-M-inBAT-2h-SK"/>
        <s v="SVT-RND-FITO-M-32W (с защитой от 380)"/>
        <s v="SVT-RND-FITO-M-48W (с защитой от 380)"/>
        <s v="SVT-RND-FITO-M-61W (с защитой от 380)"/>
        <s v="SVT-RND-FITO-M-96W"/>
        <s v="SVT-STR-M-10W"/>
        <s v="SVT-STR-M-20W "/>
        <s v="SVT-ZKH-12W-M-KRUG-IP65-4000K"/>
        <s v="SVT-ZKH-12W-M-KRUG-IP65-SENSOR-4000K"/>
        <s v="SVT-ZKH-SM-25W-IP65"/>
        <s v="SVT-ZKH-L-18W-IP65"/>
        <s v="SVT-ZKH-SS-10W-IP65"/>
        <s v="SVT-ZKH-AIR-8W-M"/>
        <s v="SVT-STR-Direct-d-20W"/>
        <s v="SVT-STR-Direct-ul-20W-1200"/>
        <s v="Комплект тросовых подвесов 1/2-1200мм (2шт.) с зажимами"/>
        <s v="Комплект тросовых подвесов 1/2-2200мм (2шт.) с зажимами"/>
        <s v="Комплект тросовых подвесов 1/2-3200мм (2шт.) с зажимами"/>
        <s v="Комплект тросовых подвесов 1/2-4200мм (2шт.) с зажимами"/>
        <s v="SVT-STR-M"/>
        <s v="SVT-STR-MV"/>
        <s v="SVT-STR-M-С"/>
        <s v="SVT-STR-M-С-2"/>
        <s v="SVT-STR-M-TRIO90"/>
        <s v="SVT-STR-M-TRIO90-C"/>
        <s v="SVT-STR-M-TRIO"/>
        <s v="SVT-STR-M-TRIO-C"/>
        <s v="SVT-STR-M-50W"/>
        <s v="SVT-STR-M-50W (с защитой от 380)"/>
        <s v="SVT-STR-M-50W-C"/>
        <s v="SVT-STR-M-50W-C (с защитой от 380)"/>
        <s v="SVT-STR-M-50W-DUO"/>
        <s v="SVT-STR-M-50W-DUO-C"/>
        <s v="SVT-STR-M-50W-DUO90"/>
        <s v="SVT-STR-M-50W-DUO90-C"/>
        <s v="SVT-STR-M-50W-TRIO"/>
        <s v="SVT-STR-M-50W-TRIO-C"/>
        <s v="SVT-STR-M-50W-TRIO90"/>
        <s v="SVT-STR-M-50W-TRIO90-C"/>
        <s v="SVT-STR-M-50W-DUO (с защитой от 380)"/>
        <s v="SVT-STR-M-50W-DUO-C (с защитой от 380)"/>
        <s v="SVT-STR-M-50W-DUO90 (с защитой от 380)"/>
        <s v="SVT-STR-M-50W-DUO90-C (с защитой от 380)"/>
        <s v="SVT-STR-M-50W-TRIO (с защитой от 380)"/>
        <s v="SVT-STR-M-50W-TRIO-C (с защитой от 380)"/>
        <s v="SVT-STR-M-50W-TRIO90 (с защитой от 380)"/>
        <s v="SVT-STR-M-50W-TRIO90-C (с защитой от 380)"/>
        <s v="Прожектор &quot;Муза&quot; 42Вт"/>
        <s v="Дорожный светильник &quot;ДорТула&quot; 120Вт"/>
        <s v="Промышленный светильник с блоком аварийного питания на 1 час SVT-STR-M-96W-MW-BAT-1h"/>
        <s v="Промышленный светильник с блоком аварийного питания на 2 часа SVT-STR-M-96W-BAT-2h"/>
        <s v="SVT-STR-MPRO-Max-155W-65-OCTO"/>
        <s v="SVT-STR-Bolid-600W-60-DUO"/>
        <s v="SVT-STR-M-80W-DIMM-0-10W"/>
        <s v="SVT-ARM-U-595x595x40-27W-M-ultra-BAT-2h"/>
        <s v="Линейный промышленный светильник &quot;Форт&quot; 1200мм, 18Вт, оптика 15гр, IP65"/>
        <s v="Архитектурный низковольтный светильник с DMX-управлением SVT-STR-RGB-MPRO-25W-58-DMX-24V"/>
        <s v="SVT-STR-Bolid-360W-60"/>
        <s v="SVT-SPC-37AR-M-IP54-4K-ASH-LK-LT"/>
        <s v="SVT-SPC-36AR-M-IP54-4K-ASH-LK-LT EM2"/>
        <s v="SVT-SPC-37PCO-M-4K-ASH-LK-LT"/>
        <s v="SVT-SPC-37PCO-M-4K-ASH-LK-LT EM2"/>
        <s v="SVT-SPC-10DL-4K-ASH-LK-LT "/>
        <s v="SVT-SPC-10DL-4K-ASH-LK-LT EM2"/>
        <s v="SVT-SPC-22RY-600-4K-ASH-LK-LT "/>
        <s v="SVT-SPC-22RY-600-4K-ASH-LK-LT EM2"/>
        <s v="SVT-SPC-37AR-120-4K-M-IP54-ASH-LK-LT"/>
        <s v="SVT-SPC-37AR-120-4K-M-IP54-ASH-LK-LT EM2"/>
        <s v="SVT-SPC-37G-588-4K-M-ASH-LK-LT"/>
        <s v="SVT-SPC-37G-588-4K-M-ASH-LK-LT EM2"/>
        <s v="SVT-SPC-18OV-ASH-LK-LT"/>
        <s v="SVT-SPC-8AR-ASH-LK-LT"/>
        <s v="SVT-STR-MPRO-46W (MW)"/>
        <s v="SVT-STR-MPRO-58W (MW)"/>
        <s v="SVT-STR-MPRO-91W (MW)"/>
        <s v="SVT-STR-MPRO-46W-C (MW)"/>
        <s v="SVT-STR-MPRO-58W-C (MW)"/>
        <s v="SVT-STR-MPRO-91W-C (MW)"/>
        <s v="SVT-STR-MPRO-50W-45x140-C (MW)"/>
        <s v="SVT-STR-MPRO-50W-20 (MW)"/>
        <s v="SVT-STR-MPRO-50W-35 (MW)"/>
        <s v="SVT-STR-MPRO-50W-65 (MW)"/>
        <s v="SVT-STR-MPRO-50W-100 (MW)"/>
        <s v="SVT-STR-MPRO-50W-30x120 (MW)"/>
        <s v="SVT-STR-MPRO-50W-VSM (MW)"/>
        <s v="SVT-STR-MPRO-50W-45x140 (MW)"/>
        <s v="SVT-STR-MPRO-75W-45x140-C (MW)"/>
        <s v="SVT-STR-MPRO-75W-20 (MW)"/>
        <s v="SVT-STR-MPRO-75W-35 (MW)"/>
        <s v="SVT-STR-MPRO-75W-65 (MW)"/>
        <s v="SVT-STR-MPRO-75W-100 (MW)"/>
        <s v="SVT-STR-MPRO-75W-30x120 (MW)"/>
        <s v="SVT-STR-MPRO-75W-VSM (MW)"/>
        <s v="SVT-STR-MPRO-75W-45x140 (MW)"/>
        <s v="SVT-STR-MPRO-100W-45x140-C (MW)"/>
        <s v="SVT-STR-MPRO-100W-20 (MW)"/>
        <s v="SVT-STR-MPRO-100W-35 (MW)"/>
        <s v="SVT-STR-MPRO-100W-65 (MW)"/>
        <s v="SVT-STR-MPRO-100W-100 (MW)"/>
        <s v="SVT-STR-MPRO-100W-30x120 (MW)"/>
        <s v="SVT-STR-MPRO-100W-VSM (MW)"/>
        <s v="SVT-STR-MPRO-100W-45x140 (MW)"/>
        <s v="SVT-STR-M-96W-MW"/>
        <s v="SVT-STR-M-96W-MW-C"/>
        <s v="SVT-STR-M-79W-MW-65"/>
        <s v="SVT-P-UL-35W"/>
        <s v="SVT-P-UL-50W"/>
        <s v="SVT-P-UL-70W"/>
        <s v="SVT-P-UL-100W"/>
        <s v="SVT-P-UL-150W-1M"/>
        <s v="SVT-P-UL-100W DUO"/>
        <s v="SVT-P-UL-100W TRIO"/>
        <s v="SVT-P-UL-100W QUATTRO"/>
        <s v="SVT-P-UL-16W-LV-12V DC"/>
        <s v="SVT-P-UL-16W-LV-24V DC"/>
        <s v="SVT-P-UL-16W-LV-36V DC"/>
        <s v="SVT-P-UL-16W-LV-12V AC"/>
        <s v="SVT-P-UL-16W-LV-24V AC"/>
        <s v="SVT-P-UL-16W-LV-36V AC"/>
        <s v="SVT-P-UL-24W-LV-12V DC"/>
        <s v="SVT-P-UL-24W-LV-24V DC"/>
        <s v="SVT-P-UL-24W-LV-36V DC"/>
        <s v="SVT-P-UL-24W-LV-12V AC"/>
        <s v="SVT-P-UL-24W-LV-24V AC"/>
        <s v="SVT-P-UL-24W-LV-36V AC"/>
        <s v="SVT-P-UL-32W-LV-12V DC"/>
        <s v="SVT-P-UL-32W-LV-24V DC"/>
        <s v="SVT-P-UL-32W-LV-36V DC"/>
        <s v="SVT-P-UL-32W-LV-12V AC"/>
        <s v="SVT-P-UL-32W-LV-24V AC"/>
        <s v="SVT-P-UL-32W-LV-36V AC"/>
        <s v="SVT-STR-DKU-CITY-150-157X57"/>
        <s v="SVT-STR-MPRO-80W-C-FTR"/>
        <s v="SVT-P-FLOWER-192W (с защитой от 380В, трос)"/>
        <s v="SVT-P-FLOWER-288W (с защитой от 380В, трос)"/>
        <s v="SVT-P-FLOWER-366W (с защитой от 380В, трос)"/>
        <s v="SVT-P-FLOWER-162W-20 (с защитой от 380В, трос)"/>
        <s v="SVT-P-FLOWER-162W-35 (с защитой от 380В, трос)"/>
        <s v="SVT-P-FLOWER-162W-65 (с защитой от 380В, трос)"/>
        <s v="SVT-P-FLOWER-318W-20 (с защитой от 380В, трос)"/>
        <s v="SVT-P-FLOWER-318W-35 (с защитой от 380В, трос)"/>
        <s v="SVT-P-FLOWER-318W-65 (с защитой от 380В, трос)"/>
        <s v="SVT-P-FLOWER-128W (с защитой от 380В, трос)"/>
        <s v="SVT-P-FLOWER-192W (с защитой от 380В, трос, 48x4)"/>
        <s v="SVT-P-FLOWER-244W (с защитой от 380В, трос)"/>
        <s v="SVT-P-FLOWER-96W (с защитой от 380В, трос)"/>
        <s v="SVT-P-FLOWER-144W (с защитой от 380В, трос)"/>
        <s v="SVT-P-FLOWER-183W (с защитой от 380В, трос)"/>
        <s v="SVT-P-FLOWER-108W-20 (с защитой от 380В, трос)"/>
        <s v="SVT-P-FLOWER-108W-35 (с защитой от 380В, трос)"/>
        <s v="SVT-P-FLOWER-108W-65 (с защитой от 380В, трос)"/>
        <s v="SVT-P-FLOWER-212W-20 (с защитой от 380В, трос)"/>
        <s v="SVT-P-FLOWER-212W-35 (с защитой от 380В, трос)"/>
        <s v="SVT-P-FLOWER-212W-65 (с защитой от 380В, трос)"/>
        <s v="SVT-P-FLOWER-81W-20 (с защитой от 380В, трос)"/>
        <s v="SVT-P-FLOWER-81W-35 (с защитой от 380В, трос)"/>
        <s v="SVT-P-FLOWER-81W-65 (с защитой от 380В, трос)"/>
        <s v="SVT-P-FLOWER-159W-20 (с защитой от 380В, трос)"/>
        <s v="SVT-P-FLOWER-159W-35 (с защитой от 380В, трос)"/>
        <s v="SVT-P-FLOWER-159W-65 (с защитой от 380В, трос)"/>
        <s v="SVT-STR-M-32W-FTR"/>
        <s v="SVT-STR-M-48W-FTR"/>
        <s v="SVT-STR-M-32W-C-FTR"/>
        <s v="SVT-STR-M-48W-C-FTR"/>
        <s v="SVT-OFF-DIRECT-900-40W-95x30-RB"/>
        <s v="SVT-OFF-DIRECT-900-40W-60x110-RB "/>
        <s v="SVT-OFF-DIRECT-900-40W-ASYMM-RB "/>
        <s v="SVT-OFF-DIRECT-900-40W-D-ASYMM-RB "/>
        <s v="SVT-OFF-DIRECT-900-40W-M-RB"/>
        <s v="SVT-OFF-DIRECT-900-40W-PR-RB"/>
        <s v="SVT-OFF-DIRECT-1200-54W-95x30-RB"/>
        <s v="SVT-OFF-DIRECT-1200-54W-60x110-RB"/>
        <s v="SVT-OFF-DIRECT-1200-54W-ASYMM-RB"/>
        <s v="SVT-OFF-DIRECT-1200-54W-D-ASYMM-RB"/>
        <s v="SVT-OFF-DIRECT-1200-54W-M-RB"/>
        <s v="SVT-OFF-DIRECT-1200-54W-PR-RB"/>
        <s v="SVT-OFF-DIRECT-1500-67W-95x30-RB"/>
        <s v="SVT-OFF-DIRECT-1500-67W-60x110-RB"/>
        <s v="SVT-OFF-DIRECT-1500-67W-ASYMM-RB"/>
        <s v="SVT-OFF-DIRECT-1500-67W-D-ASYMM-RB"/>
        <s v="SVT-OFF-DIRECT-1500-67W-M-RB"/>
        <s v="SVT-OFF-DIRECT-1500-67W-PR-RB"/>
        <s v="SVT-ARH-Fort-150-6W-8"/>
        <s v="SVT-ARH-Fort-150-6W-15"/>
        <s v="SVT-ARH-Fort-150-6W-25"/>
        <s v="SVT-ARH-Fort-150-6W-45"/>
        <s v="SVT-ARH-Fort-150-6W-10x60"/>
        <s v="SVT-ARH-Fort-300-12W-8"/>
        <s v="SVT-ARH-Fort-300-12W-15"/>
        <s v="SVT-ARH-Fort-300-12W-25"/>
        <s v="SVT-ARH-Fort-300-12W-45"/>
        <s v="SVT-ARH-Fort-300-12W-10x60"/>
        <s v="SVT-ARH-Fort-600-25W-120"/>
        <s v="SVT-ARH-Fort-600-25W-8"/>
        <s v="SVT-ARH-Fort-600-25W-15"/>
        <s v="SVT-ARH-Fort-600-25W-25"/>
        <s v="SVT-ARH-Fort-600-25W-45"/>
        <s v="SVT-ARH-Fort-600-25W-10x60"/>
        <s v="SVT-ARH-Fort-900-38W-120"/>
        <s v="SVT-ARH-Fort-900-38W-8"/>
        <s v="SVT-ARH-Fort-900-38W-15"/>
        <s v="SVT-ARH-Fort-900-38W-25"/>
        <s v="SVT-ARH-Fort-900-38W-45"/>
        <s v="SVT-ARH-Fort-900-38W-10x60"/>
        <s v="SVT-ARH-Fort-1200-52W-120"/>
        <s v="SVT-ARH-Fort-1200-52W-8"/>
        <s v="SVT-ARH-Fort-1200-52W-15"/>
        <s v="SVT-ARH-Fort-1200-52W-25"/>
        <s v="SVT-ARH-Fort-1200-52W-45"/>
        <s v="SVT-ARH-Fort-1200-52W-10x60"/>
        <s v="SVT-ARH-Fort-1500-65W-120"/>
        <s v="SVT-ARH-Fort-1500-65W-8"/>
        <s v="SVT-ARH-Fort-1500-65W-15"/>
        <s v="SVT-ARH-Fort-1500-65W-25"/>
        <s v="SVT-ARH-Fort-1500-65W-45"/>
        <s v="SVT-ARH-Fort-1500-65W-10x60"/>
        <s v="SVT-ARH-Luch-935-36W-120-KR"/>
        <s v="SVT-ARH-Luch-935-36W-15-KR"/>
        <s v="SVT-ARH-Luch-935-36W-25-KR"/>
        <s v="SVT-ARH-Luch-935-36W-45-KR"/>
        <s v="SVT-ARH-Luch-935-36W-10x60-KR"/>
        <s v="SVT-ARH-Luch-635-24W-120-KR"/>
        <s v="SVT-ARH-Luch-635-24W-15-KR"/>
        <s v="SVT-ARH-Luch-635-24W-25-KR"/>
        <s v="SVT-ARH-Luch-635-24W-45-KR"/>
        <s v="SVT-ARH-Luch-635-24W-10x60-KR"/>
        <s v="SVT-STR-MX-9W-25-3000К"/>
        <s v="SVT-STR-MX-9W-65-3000К"/>
        <s v="SVT-STR-2MX-18W-25-3000К-DS"/>
        <s v="SVT-STR-2MX-18W-65-3000К-DS"/>
        <s v="SVT-STR-2MX-9W-25-3000К-DS"/>
        <s v="SVT-STR-2MX-9W-65-3000К-DS"/>
        <s v="SVT-P-Fort-300-12W"/>
        <s v="SVT-P-Fort-600-24W"/>
        <s v="SVT-P-Fort-900-36W"/>
        <s v="SVT-P-Fort-1200-50W"/>
        <s v="SVT-P-Fort-1500-64W"/>
        <s v="SVT-OFF-DIRECT-600-38W-95x30-TRACK"/>
        <s v="SVT-OFF-DIRECT-600-38W-60x110-TRACK"/>
        <s v="SVT-OFF-DIRECT-600-38W-ASYMM-TRACK"/>
        <s v="SVT-OFF-DIRECT-600-38W-D-ASYMM-TRACK"/>
        <s v="SVT-OFF-DIRECT-600-38W-M-TRACK"/>
        <s v="SVT-OFF-DIRECT-600-38W-PR-TRACK"/>
        <s v="SVT-OFF-DIRECT-600-47W-95x30-TRACK"/>
        <s v="SVT-OFF-DIRECT-600-47W-60x110-TRACK"/>
        <s v="SVT-OFF-DIRECT-600-47W-ASYMM-TRACK"/>
        <s v="SVT-OFF-DIRECT-600-47W-D-ASYMM-TRACK"/>
        <s v="SVT-OFF-DIRECT-600-47W-M-TRACK"/>
        <s v="SVT-OFF-DIRECT-600-47W-PR-TRACK"/>
        <s v="SVT-P-Fort-300-8W-LV-12V DC"/>
        <s v="SVT-P-Fort-300-8W-LV-24V DC"/>
        <s v="SVT-P-Fort-300-8W-LV-36V DC"/>
        <s v="SVT-P-Fort-300-8W-LV-12V AC"/>
        <s v="SVT-P-Fort-300-8W-LV-24V AC"/>
        <s v="SVT-P-Fort-300-8W-LV-36V AC"/>
        <s v="SVT-P-Fort-600-16W-LV-12V DC"/>
        <s v="SVT-P-Fort-600-16W-LV-24V DC"/>
        <s v="SVT-P-Fort-600-16W-LV-36V DC"/>
        <s v="SVT-P-Fort-600-16W-LV-12V AC"/>
        <s v="SVT-P-Fort-600-16W-LV-24V AC"/>
        <s v="SVT-P-Fort-600-16W-LV-36V AC"/>
        <s v="SVT-P-Fort-900-24W-LV-12V DC"/>
        <s v="SVT-P-Fort-900-24W-LV-24V DC"/>
        <s v="SVT-P-Fort-900-24W-LV-36V DC"/>
        <s v="SVT-P-Fort-900-24W-LV-12V AC"/>
        <s v="SVT-P-Fort-900-24W-LV-24V AC"/>
        <s v="SVT-P-Fort-900-24W-LV-36V AC"/>
        <s v="SVT-P-Fort-1200-32W-LV-12V DC"/>
        <s v="SVT-P-Fort-1200-32W-LV-24V DC"/>
        <s v="SVT-P-Fort-1200-32W-LV-36V DC"/>
        <s v="SVT-P-Fort-1200-32W-LV-12V AC"/>
        <s v="SVT-P-Fort-1200-32W-LV-24V AC"/>
        <s v="SVT-P-Fort-1200-32W-LV-36V AC"/>
        <s v="SVT-P-DIRECT-300-22W"/>
        <s v="SVT-P-DIRECT-600-44W"/>
        <s v="SVT-P-DIRECT-750-61W"/>
        <s v="SVT-P-DIRECT-1200-88W"/>
        <s v="SVT-P-DIRECT-1500-122W"/>
        <s v="SVT-P-I-v2-1200-36W-IP65-M-0-10V"/>
        <s v="SVT-P-I-v2-1200-36W-IP65-M-DALI"/>
        <s v="SVT-P-I-v2-1200-36W-IP65-M-DR"/>
        <s v="SVT-P-I-v2-1200-36W-IP65-M-DR-ZD"/>
        <s v="SVT-P-I-v2-1200-36W-IP65-M-ZD"/>
        <s v="SVT-P-I-v2-1200-36W-IP65-M-Ultra"/>
        <s v="SVT-P-I-v2-1500-60W-IP65-M-EM-3h"/>
        <s v="SVT-P-I-v2-1500-60W-IP65-M-0-10V"/>
        <s v="SVT-P-I-v2-1500-60W-IP65-M-DALI"/>
        <s v="SVT-P-I-v2-1200-36W-IP65-M"/>
        <s v="SVT-ARM-U-AIR-1195x200x34-29W-IP54-PR"/>
        <s v="SVT-ARM-RP-1240x290x90-34W-М-4000К"/>
        <s v="SVT-ARM-RP-1240x290x90-34W-М-4000К-InBAT-2h"/>
        <s v="SVT-ARM-RP-706x310x100-17W-М-4000К"/>
        <s v="SVT-ARM-Clip-in-43W-IP54-M-4000K"/>
        <s v="SVT-ARM-Clip-in-27W-IP54-PR"/>
        <s v="SVT-ARM-Clip-in-34W-IP54-PR"/>
        <s v="SVT-ARM-Clip-in-38W-IP54-PR"/>
        <s v="SVT-ARM-Clip-in-43W-IP54-PR"/>
        <s v="SVT-ARM-Clip-in-34W-IP54-M-4000K"/>
        <s v="SVT-ARM-U-AIR-595x595x34-29W-PR-DALI-IP54"/>
        <s v="SVT-ARM-U-AIR-595x595x34-29W-PR-Dimm-IP54"/>
        <s v="SVT-ARM-U-595x595x40-36W-PR"/>
        <s v="SVT-ARM-U-595x595x40-36W-M"/>
        <s v="SVT-ARM-U-1200x180x40-36W-PR"/>
        <s v="SVT-ARM-U-1200x180x40-36W-M"/>
        <s v="SVT-ARM-U-AIR-595x595x34-29W-IP54-PR"/>
        <s v="SVT-ARM-U-AIR-595x595x34-27W-IP54-PR (ultra)"/>
        <s v="SVT-ARM-U-AIR-595x595x34-34W-IP54-PR"/>
        <s v="SVT-P-I-1280-30W-T"/>
        <s v="SVT-P-I-1280-30W-M"/>
        <s v="SVT-P-I-1280-40W-T"/>
        <s v="SVT-P-I-1280-40W-M"/>
      </sharedItems>
    </cacheField>
    <cacheField name="Поток, лм" numFmtId="0">
      <sharedItems containsBlank="1" containsMixedTypes="1" containsNumber="1" containsInteger="1" minValue="300" maxValue="204000" count="344">
        <m/>
        <n v="14750"/>
        <n v="22156"/>
        <n v="29541"/>
        <n v="36926"/>
        <n v="4990"/>
        <n v="7790"/>
        <n v="9940"/>
        <n v="12470"/>
        <n v="15690"/>
        <n v="19880"/>
        <n v="24940"/>
        <n v="31380"/>
        <n v="29820"/>
        <n v="37410"/>
        <n v="47070"/>
        <n v="39760"/>
        <n v="49880"/>
        <n v="62760"/>
        <n v="4170"/>
        <n v="8180"/>
        <n v="12100"/>
        <n v="16540"/>
        <n v="16360"/>
        <n v="24200"/>
        <n v="33080"/>
        <n v="24540"/>
        <n v="36300"/>
        <n v="49620"/>
        <n v="32720"/>
        <n v="48400"/>
        <n v="66160"/>
        <n v="720"/>
        <n v="1440"/>
        <n v="2880"/>
        <n v="4320"/>
        <n v="6000"/>
        <n v="7680"/>
        <n v="876"/>
        <n v="1752"/>
        <n v="3670"/>
        <n v="5500"/>
        <n v="7340"/>
        <n v="9180"/>
        <n v="1839"/>
        <n v="5217"/>
        <n v="8225"/>
        <n v="10532"/>
        <n v="16450"/>
        <n v="7630"/>
        <n v="15260"/>
        <n v="3200"/>
        <n v="3000"/>
        <n v="3800"/>
        <n v="645"/>
        <n v="600"/>
        <n v="300"/>
        <n v="1284"/>
        <n v="3410"/>
        <n v="2720"/>
        <n v="3500"/>
        <n v="2240"/>
        <n v="3240"/>
        <n v="4160"/>
        <n v="960"/>
        <n v="1920"/>
        <n v="3840"/>
        <n v="1040"/>
        <n v="2080"/>
        <n v="3120"/>
        <n v="7000"/>
        <n v="10500"/>
        <n v="14000"/>
        <n v="21000"/>
        <n v="31500"/>
        <n v="28000"/>
        <n v="42000"/>
        <n v="56000"/>
        <n v="8000"/>
        <n v="16000"/>
        <n v="24000"/>
        <n v="12500"/>
        <n v="25000"/>
        <n v="37500"/>
        <n v="50000"/>
        <n v="10000"/>
        <n v="15000"/>
        <n v="20000"/>
        <n v="30000"/>
        <n v="45000"/>
        <n v="40000"/>
        <n v="60000"/>
        <n v="80000"/>
        <n v="7500"/>
        <n v="11200"/>
        <n v="22400"/>
        <n v="33600"/>
        <n v="8560"/>
        <n v="17120"/>
        <n v="25680"/>
        <n v="13375"/>
        <n v="26750"/>
        <n v="40125"/>
        <n v="53500"/>
        <n v="10700"/>
        <n v="21400"/>
        <n v="32000"/>
        <n v="48000"/>
        <n v="42800"/>
        <n v="64200"/>
        <n v="85600"/>
        <n v="7300"/>
        <n v="11710"/>
        <n v="17530"/>
        <n v="1560"/>
        <n v="6240"/>
        <n v="8640"/>
        <n v="4680"/>
        <n v="9360"/>
        <n v="12480"/>
        <n v="17280"/>
        <n v="10400"/>
        <n v="19500"/>
        <n v="20800"/>
        <n v="1300"/>
        <n v="1760"/>
        <n v="2200"/>
        <n v="2400"/>
        <n v="13120"/>
        <n v="19680"/>
        <n v="4347"/>
        <n v="9032"/>
        <n v="13272"/>
        <n v="16728"/>
        <n v="15580"/>
        <n v="23370"/>
        <n v="39360"/>
        <n v="59040"/>
        <n v="78720"/>
        <n v="26544"/>
        <n v="33456"/>
        <n v="39816"/>
        <n v="50184"/>
        <n v="53088"/>
        <n v="66912"/>
        <n v="5880"/>
        <n v="23390"/>
        <n v="23328"/>
        <n v="35424"/>
        <n v="35060"/>
        <n v="52590"/>
        <n v="46780"/>
        <n v="70170"/>
        <n v="93560"/>
        <n v="14970"/>
        <n v="19960"/>
        <n v="29940"/>
        <n v="23310"/>
        <n v="31080"/>
        <n v="46620"/>
        <n v="59640"/>
        <n v="13041"/>
        <n v="17388"/>
        <n v="26082"/>
        <n v="27096"/>
        <n v="36128"/>
        <n v="54192"/>
        <n v="20400"/>
        <n v="30600"/>
        <n v="40800"/>
        <n v="5100"/>
        <n v="7290"/>
        <n v="10200"/>
        <n v="15300"/>
        <n v="21870"/>
        <n v="30420"/>
        <n v="9000"/>
        <n v="18000"/>
        <n v="27000"/>
        <n v="36000"/>
        <n v="3600"/>
        <n v="4180"/>
        <n v="1875"/>
        <n v="2640"/>
        <n v="5760"/>
        <n v="7750"/>
        <n v="3390"/>
        <n v="5120"/>
        <n v="4520"/>
        <n v="6400"/>
        <n v="5650"/>
        <n v="6780"/>
        <n v="2500"/>
        <n v="3620"/>
        <n v="4840"/>
        <n v="9770"/>
        <n v="14240"/>
        <n v="9680"/>
        <n v="4140"/>
        <n v="8420"/>
        <n v="11950"/>
        <n v="14520"/>
        <n v="22890"/>
        <n v="19540"/>
        <n v="29310"/>
        <n v="62350"/>
        <n v="28480"/>
        <n v="42720"/>
        <n v="56960"/>
        <n v="71200"/>
        <n v="8280"/>
        <n v="16840"/>
        <n v="23900"/>
        <n v="12420"/>
        <n v="25260"/>
        <n v="35850"/>
        <n v="33680"/>
        <n v="47800"/>
        <n v="42100"/>
        <n v="59750"/>
        <n v="6490"/>
        <n v="9720"/>
        <n v="912"/>
        <n v="882"/>
        <n v="1824"/>
        <n v="1764"/>
        <n v="2888"/>
        <n v="2793"/>
        <n v="3675"/>
        <n v="4712"/>
        <n v="4557"/>
        <n v="5624"/>
        <n v="5439"/>
        <n v="7600"/>
        <n v="7350"/>
        <n v="9424"/>
        <n v="9114"/>
        <n v="10010"/>
        <n v="13390"/>
        <n v="15080"/>
        <n v="20150"/>
        <n v="27040"/>
        <n v="25250"/>
        <n v="33540"/>
        <n v="30160"/>
        <n v="40170"/>
        <n v="1980"/>
        <n v="3750"/>
        <n v="5360"/>
        <n v="3684"/>
        <n v="1328"/>
        <n v="2645"/>
        <n v="1350"/>
        <n v="2700"/>
        <n v="4050"/>
        <n v="2000"/>
        <n v="4000"/>
        <n v="570"/>
        <n v="1140"/>
        <n v="1710"/>
        <n v="3450"/>
        <n v="4300"/>
        <n v="4030"/>
        <n v="3884"/>
        <n v="5054"/>
        <n v="2530"/>
        <n v="2090"/>
        <n v="4200"/>
        <n v="4770"/>
        <n v="6318"/>
        <n v="3420"/>
        <n v="4560"/>
        <n v="5700"/>
        <n v="6840"/>
        <n v="5160"/>
        <n v="1849"/>
        <n v="3300"/>
        <n v="5370"/>
        <n v="2550"/>
        <n v="1224"/>
        <s v="64 _x000a_мкмоль/с"/>
        <s v="96 _x000a_мкмоль/с"/>
        <s v="122 _x000a_мкмоль/с"/>
        <s v="192 _x000a_мкмоль/с"/>
        <n v="1290"/>
        <n v="2310"/>
        <n v="970"/>
        <n v="2160"/>
        <n v="1200"/>
        <n v="670"/>
        <s v="-"/>
        <n v="5800"/>
        <n v="19000"/>
        <n v="187120"/>
        <n v="204000"/>
        <n v="50400"/>
        <n v="1000"/>
        <n v="2950"/>
        <n v="4620"/>
        <n v="6600"/>
        <n v="9240"/>
        <n v="13200"/>
        <n v="19800"/>
        <n v="26400"/>
        <n v="39600"/>
        <n v="52800"/>
        <n v="1600"/>
        <n v="2280"/>
        <n v="21900"/>
        <n v="29040"/>
        <n v="45780"/>
        <n v="58620"/>
        <n v="24840"/>
        <n v="50520"/>
        <n v="19360"/>
        <n v="30520"/>
        <n v="39080"/>
        <n v="16560"/>
        <n v="5200"/>
        <n v="5600"/>
        <n v="7020"/>
        <n v="7560"/>
        <n v="7786"/>
        <n v="8710"/>
        <n v="9380"/>
        <n v="9660"/>
        <n v="4860"/>
        <n v="5130"/>
        <n v="5730"/>
        <n v="6110"/>
        <n v="880"/>
        <n v="3520"/>
        <n v="3220"/>
        <n v="6440"/>
        <n v="9165"/>
        <n v="12880"/>
        <n v="18330"/>
        <s v="3800 / 800"/>
        <n v="1900"/>
        <n v="4800"/>
        <n v="4460"/>
        <n v="5050"/>
        <n v="3816"/>
        <n v="3456"/>
      </sharedItems>
    </cacheField>
    <cacheField name="Мощн., Вт" numFmtId="0">
      <sharedItems containsBlank="1" containsMixedTypes="1" containsNumber="1" containsInteger="1" minValue="3" maxValue="1240" count="134">
        <m/>
        <n v="100"/>
        <n v="154"/>
        <n v="205"/>
        <n v="257"/>
        <n v="32"/>
        <n v="48"/>
        <n v="61"/>
        <n v="80"/>
        <n v="96"/>
        <n v="122"/>
        <n v="160"/>
        <n v="192"/>
        <n v="183"/>
        <n v="240"/>
        <n v="288"/>
        <n v="244"/>
        <n v="320"/>
        <n v="384"/>
        <n v="27"/>
        <n v="53"/>
        <n v="79"/>
        <n v="102"/>
        <n v="106"/>
        <n v="158"/>
        <n v="204"/>
        <n v="159"/>
        <n v="237"/>
        <n v="306"/>
        <n v="212"/>
        <n v="316"/>
        <n v="408"/>
        <n v="6"/>
        <n v="12"/>
        <n v="24"/>
        <n v="36"/>
        <n v="50"/>
        <n v="64"/>
        <n v="29"/>
        <n v="30"/>
        <n v="3"/>
        <n v="18"/>
        <n v="35"/>
        <n v="16"/>
        <n v="8"/>
        <n v="81"/>
        <n v="119"/>
        <n v="155"/>
        <n v="238"/>
        <n v="357"/>
        <n v="310"/>
        <n v="465"/>
        <n v="620"/>
        <n v="120"/>
        <n v="72"/>
        <n v="128"/>
        <n v="150"/>
        <n v="10"/>
        <n v="14"/>
        <n v="20"/>
        <n v="31"/>
        <n v="60"/>
        <n v="95"/>
        <n v="52"/>
        <n v="144"/>
        <n v="178"/>
        <n v="190"/>
        <n v="285"/>
        <n v="380"/>
        <n v="360"/>
        <n v="480"/>
        <n v="42"/>
        <n v="162"/>
        <n v="246"/>
        <n v="93"/>
        <n v="124"/>
        <n v="186"/>
        <n v="180"/>
        <n v="108"/>
        <n v="156"/>
        <n v="208"/>
        <n v="312"/>
        <n v="45"/>
        <n v="90"/>
        <n v="135"/>
        <n v="15"/>
        <n v="22"/>
        <n v="62"/>
        <n v="40"/>
        <n v="400"/>
        <n v="54"/>
        <n v="265"/>
        <n v="395"/>
        <n v="55"/>
        <n v="19"/>
        <n v="25"/>
        <n v="37"/>
        <n v="77"/>
        <n v="103"/>
        <n v="116"/>
        <n v="207"/>
        <n v="194"/>
        <n v="258"/>
        <n v="232"/>
        <n v="309"/>
        <n v="13"/>
        <n v="38"/>
        <n v="58"/>
        <n v="28"/>
        <n v="33"/>
        <n v="47"/>
        <n v="34"/>
        <n v="9"/>
        <s v="-"/>
        <n v="49"/>
        <n v="98"/>
        <n v="147"/>
        <n v="1240"/>
        <n v="1200"/>
        <n v="46"/>
        <n v="91"/>
        <n v="75"/>
        <n v="70"/>
        <n v="200"/>
        <n v="300"/>
        <n v="366"/>
        <n v="318"/>
        <n v="67"/>
        <n v="65"/>
        <n v="44"/>
        <n v="88"/>
        <s v="36 / 7"/>
        <n v="17"/>
        <n v="43"/>
      </sharedItems>
    </cacheField>
    <cacheField name="Эфф., лм/Вт" numFmtId="0">
      <sharedItems containsBlank="1" containsMixedTypes="1" containsNumber="1" minValue="19" maxValue="173"/>
    </cacheField>
    <cacheField name="Код товара" numFmtId="0">
      <sharedItems containsBlank="1"/>
    </cacheField>
    <cacheField name="КСС" numFmtId="0">
      <sharedItems containsBlank="1"/>
    </cacheField>
    <cacheField name="IP" numFmtId="0">
      <sharedItems containsBlank="1" containsMixedTypes="1" containsNumber="1" containsInteger="1" minValue="20" maxValue="68" count="9">
        <m/>
        <n v="67"/>
        <n v="66"/>
        <n v="54"/>
        <n v="20"/>
        <n v="65"/>
        <n v="40"/>
        <n v="68"/>
        <s v="-"/>
      </sharedItems>
    </cacheField>
    <cacheField name="Гарантия" numFmtId="0">
      <sharedItems containsBlank="1" count="10">
        <m/>
        <s v="2 года"/>
        <s v="3 года"/>
        <s v="5 лет"/>
        <s v="3 года. Срок службы АКБ 2 года. Замена и обслуживание АКБ в гарантию не входит."/>
        <s v="2 года. Замена и обслуживание АКБ в гарантию не входит."/>
        <s v="6 лет"/>
        <s v="5лет"/>
        <s v="-"/>
        <s v="5 лет, АКБ-2 года."/>
      </sharedItems>
    </cacheField>
    <cacheField name="Напряжение питания" numFmtId="0">
      <sharedItems containsBlank="1" count="12">
        <m/>
        <s v="100-305В АС, 50Гц"/>
        <s v="176-264В АС, 50Гц"/>
        <s v="200-240В АС, 50Гц"/>
        <s v="12V DC"/>
        <s v="24V DC"/>
        <s v="36V DC"/>
        <s v="12V AC, 50Гц"/>
        <s v="24V AC, 50Гц"/>
        <s v="36V AC, 50Гц"/>
        <s v="-"/>
        <s v="12-24В, DC"/>
      </sharedItems>
    </cacheField>
    <cacheField name="Коэффициент мощности" numFmtId="0">
      <sharedItems containsBlank="1" containsMixedTypes="1" containsNumber="1" minValue="0.5" maxValue="0.96"/>
    </cacheField>
    <cacheField name="Источник питания" numFmtId="0">
      <sharedItems containsBlank="1"/>
    </cacheField>
    <cacheField name="Класс защиты от поражения эл. током" numFmtId="0">
      <sharedItems containsBlank="1"/>
    </cacheField>
    <cacheField name="Вторичная оптика/рассеиватель" numFmtId="0">
      <sharedItems containsBlank="1"/>
    </cacheField>
    <cacheField name="Пульсации светового потока, %" numFmtId="0">
      <sharedItems containsBlank="1" containsMixedTypes="1" containsNumber="1" minValue="0.86" maxValue="0.9"/>
    </cacheField>
    <cacheField name="Цветовая температура светодиода" numFmtId="0">
      <sharedItems containsBlank="1" count="18">
        <m/>
        <s v="5000K"/>
        <s v="5000К* - по умолчанию. "/>
        <s v="5700K"/>
        <s v="4000K"/>
        <s v="5000К"/>
        <s v="5000К* - по умолчанию."/>
        <s v="RGB"/>
        <s v="RED"/>
        <s v="GREEN"/>
        <s v="BLUE"/>
        <s v="AMBER"/>
        <s v="3000K"/>
        <s v="4000К"/>
        <s v="4000К*"/>
        <s v="Универсальный фито-спектр"/>
        <s v="-"/>
        <s v="3000К"/>
      </sharedItems>
    </cacheField>
    <cacheField name="Индекс цветопередачи (CRI)" numFmtId="0">
      <sharedItems containsBlank="1" containsMixedTypes="1" containsNumber="1" containsInteger="1" minValue="70" maxValue="80"/>
    </cacheField>
    <cacheField name="Светодиоды" numFmtId="0">
      <sharedItems containsBlank="1"/>
    </cacheField>
    <cacheField name="Рабочий ток светодиода" numFmtId="0">
      <sharedItems containsBlank="1"/>
    </cacheField>
    <cacheField name="Климатическое исполнение" numFmtId="0">
      <sharedItems containsBlank="1" count="30">
        <m/>
        <s v="У1"/>
        <s v="УХЛ1"/>
        <s v="УХЛ4"/>
        <s v="У2"/>
        <s v="У3"/>
        <s v="У4"/>
        <s v="У5"/>
        <s v="У6"/>
        <s v="У7"/>
        <s v="У8"/>
        <s v="У9"/>
        <s v="У10"/>
        <s v="У11"/>
        <s v="У12"/>
        <s v="У13"/>
        <s v="У14"/>
        <s v="У15"/>
        <s v="У16"/>
        <s v="У17"/>
        <s v="У18"/>
        <s v="У19"/>
        <s v="У20"/>
        <s v="У21"/>
        <s v="У22"/>
        <s v="У23"/>
        <s v="У24"/>
        <s v="УХЛ2"/>
        <s v="УХЛ 3.1"/>
        <s v="-"/>
      </sharedItems>
    </cacheField>
    <cacheField name="Корпус" numFmtId="0">
      <sharedItems containsBlank="1"/>
    </cacheField>
    <cacheField name="Крепление" numFmtId="0">
      <sharedItems containsBlank="1"/>
    </cacheField>
    <cacheField name="Габариты Д/Ш/В, мм" numFmtId="0">
      <sharedItems containsBlank="1" count="301">
        <m/>
        <s v="334х300х210"/>
        <s v="454х300х210"/>
        <s v="584х300х210"/>
        <s v="714х300х210"/>
        <s v="208x97x145"/>
        <s v="258x97x145"/>
        <s v="308x97x145"/>
        <s v="458x97x145"/>
        <s v="508x97x145"/>
        <s v="320x210x291"/>
        <s v="454x210x291"/>
        <s v="504x210x291"/>
        <s v="320x320x291"/>
        <s v="454x320x291"/>
        <s v="504x320x291"/>
        <s v="320x427x291"/>
        <s v="454x427x291"/>
        <s v="504x427x291"/>
        <s v="408x97x145"/>
        <s v="608x97x145"/>
        <s v="804x97x165"/>
        <s v="404x210x291"/>
        <s v="604x210x291"/>
        <s v="804x210x291"/>
        <s v="404x320x291"/>
        <s v="604x320x291"/>
        <s v="804x320x291"/>
        <s v="404x427x291"/>
        <s v="604x427x291"/>
        <s v="804x427x291"/>
        <s v="158x60x130"/>
        <s v="308x60x130"/>
        <s v="608x60x130"/>
        <s v="908x60x130"/>
        <s v="1208x60x130"/>
        <s v="1508x60x130"/>
        <s v="308x60x288"/>
        <s v="400х97х145"/>
        <s v="500х97х145"/>
        <s v="600х97х145"/>
        <s v="500х210х291"/>
        <s v="350х350х55"/>
        <s v="595x595x34"/>
        <s v="1195x200x34"/>
        <s v="595х595х40"/>
        <s v="1200x76x76"/>
        <s v="350×165×75"/>
        <s v="310×145×76"/>
        <s v="380х210х30"/>
        <s v="260х100"/>
        <s v="1280х140х95"/>
        <s v="400х76х82"/>
        <s v="380х85х150"/>
        <s v="230х100х125"/>
        <s v="300x76x76"/>
        <s v="600x76x76"/>
        <s v="900x76x76"/>
        <s v="306x63x68"/>
        <s v="606x63x68"/>
        <s v="906x63x68"/>
        <s v="1206x63x68"/>
        <s v="436x97x145"/>
        <s v="636x97x145"/>
        <s v="836x97x145"/>
        <s v="636x210x291"/>
        <s v="636x320x291"/>
        <s v="836x210x291"/>
        <s v="836x320x291"/>
        <s v="836x430x291"/>
        <s v="336x97x145"/>
        <s v="336x210x290"/>
        <s v="336x320x290"/>
        <s v="536x97x145"/>
        <s v="536x210x290"/>
        <s v="536x320x290"/>
        <s v="536x430x290"/>
        <s v="736x97x145"/>
        <s v="936x97x145"/>
        <s v="736x210x291"/>
        <s v="736x320x291"/>
        <s v="936x210x291"/>
        <s v="936x320x291"/>
        <s v="936x430x291"/>
        <s v="600x186x119"/>
        <s v="577х232х103"/>
        <s v="627x272x103"/>
        <s v="756x63x68"/>
        <s v="1506x63x68"/>
        <s v="250x250x174"/>
        <s v="345x345x183"/>
        <s v="155x195"/>
        <s v="236x97x145"/>
        <s v="286x97x145"/>
        <s v="236x97x134"/>
        <s v="286x97x134"/>
        <s v="336x97x134"/>
        <s v="536x97x134"/>
        <s v="636х97х145"/>
        <s v="636х97х134"/>
        <s v="436x97x134"/>
        <s v="636x97x134"/>
        <s v="836x97x134"/>
        <s v="286х310х150"/>
        <s v="286х310х130"/>
        <s v="336x430x290"/>
        <s v="636х210х291"/>
        <s v="636х256х90"/>
        <s v="636х320х291"/>
        <s v="636х320х134"/>
        <s v="636х430х291"/>
        <s v="636x256x90"/>
        <s v="836x256x90"/>
        <s v="636x320x134"/>
        <s v="836x320x134"/>
        <s v="636x430x291"/>
        <s v="736x97x134"/>
        <s v="936x97x134"/>
        <s v="536x265x90"/>
        <s v="536x320x134"/>
        <s v="640x640x205"/>
        <s v="740x740x205"/>
        <s v="840x840x205"/>
        <s v="640x640x214"/>
        <s v="640x640x215"/>
        <s v="1040x1040x205"/>
        <s v="364х300х210"/>
        <s v="514х300х210"/>
        <s v="204x108x192"/>
        <s v="304x108x192"/>
        <s v="404x108x192"/>
        <s v="604x108x192"/>
        <s v="406x240x325"/>
        <s v="606x240x235"/>
        <s v="326x348x260"/>
        <s v="402x348x260"/>
        <s v="265x150x190"/>
        <s v="265x150x143"/>
        <s v="514x150x190"/>
        <s v="515x150x143"/>
        <s v="764x150x190"/>
        <s v="765x150x143"/>
        <s v="514x305x277"/>
        <s v="515x310x140"/>
        <s v="1225х85х80"/>
        <s v="1500x76x76"/>
        <s v="1262x124x85 "/>
        <s v="1262x124x85"/>
        <s v="1270х152х100"/>
        <s v="210х100х130"/>
        <s v="260х100х130"/>
        <s v="310х100х130"/>
        <s v="460х100х195"/>
        <s v="510х100х130"/>
        <s v="210х100х125"/>
        <s v="260х100х125"/>
        <s v="310х100х125"/>
        <s v="460х100х120"/>
        <s v="510х100х125"/>
        <s v="250x300x300"/>
        <s v="200х100х130"/>
        <s v="400х100х130"/>
        <s v="600х100х130"/>
        <s v="230х210х130"/>
        <s v="230x262x75"/>
        <s v="230x158x158"/>
        <s v="230х310х130"/>
        <s v="230x258x158"/>
        <s v="250х210х130"/>
        <s v="280x262x75"/>
        <s v="280х210х130"/>
        <s v="280x158x158"/>
        <s v="250х320х130"/>
        <s v="280x310x130"/>
        <s v="280х310х130"/>
        <s v="280x258x158"/>
        <s v="300х210х130"/>
        <s v="310x262x75"/>
        <s v="310х210х130"/>
        <s v="310x158x158"/>
        <s v="300х320х276"/>
        <s v="310х310х130"/>
        <s v="310x258x158"/>
        <s v="250х210х276*"/>
        <s v="250х320х276*"/>
        <s v="300х210х276*"/>
        <s v="460х210х278"/>
        <s v="460x260x90"/>
        <s v="460x320x278"/>
        <s v="460x300x120"/>
        <s v="460x430x278"/>
        <s v="460x540x278"/>
        <s v="510х210х276"/>
        <s v="510x262x75"/>
        <s v="510x158x158"/>
        <s v="510x320x276"/>
        <s v="510x310x130"/>
        <s v="510x430x276"/>
        <s v="510x540x276"/>
        <s v="200х255х60"/>
        <s v="200х200х130"/>
        <s v="400х255х60"/>
        <s v="400х210х276*"/>
        <s v="600х255х60"/>
        <s v="600х210х276*"/>
        <s v="200х310х130"/>
        <s v="400х310х130"/>
        <s v="400х320х276*"/>
        <s v="600х310х130"/>
        <s v="600х320х276*"/>
        <s v="400х430х276*"/>
        <s v="600х430х276*"/>
        <s v="400х540х276*"/>
        <s v="600х540х276*"/>
        <s v="450х100х100"/>
        <s v="500х100х100"/>
        <s v="550х100х100"/>
        <s v="156х63х68"/>
        <s v="300х63х68"/>
        <s v="450х63х68"/>
        <s v="600х63х68"/>
        <s v="750х63х68"/>
        <s v="900х63х68"/>
        <s v="1200х63х68"/>
        <s v="1500х63х68"/>
        <s v="371х210х183"/>
        <s v="371х280х183"/>
        <s v="521х210х183"/>
        <s v="521х280х183"/>
        <s v="671х210х183"/>
        <s v="671х280х183"/>
        <s v="821х210х183"/>
        <s v="821х280х183"/>
        <s v="971х210х183"/>
        <s v="971х280х183"/>
        <s v="174x150x86"/>
        <s v="1010х30х25"/>
        <s v="685х30х25"/>
        <s v="360х30х25"/>
        <s v="250х90х155"/>
        <s v="д.300"/>
        <s v="370x370x670"/>
        <s v="1200х180х40"/>
        <s v="595х295х40"/>
        <s v="1240x290x90"/>
        <s v="706x310x100"/>
        <s v="595х595х70"/>
        <s v="588х588х40"/>
        <s v="600х600х40"/>
        <s v="595x595x18"/>
        <s v="1195x295x18"/>
        <s v="900х50х50"/>
        <s v="1200х50х50"/>
        <s v="1500х50х50"/>
        <s v="1800х50х50"/>
        <s v="230x40"/>
        <s v="1200х100х55"/>
        <s v="1500х100х55"/>
        <s v="1200x180x40"/>
        <s v="310×76×145"/>
        <s v="280х100х125"/>
        <s v="330х100х125"/>
        <s v="530х100х125"/>
        <s v="145x100x130"/>
        <s v="155x57"/>
        <s v="223x70"/>
        <s v="217x135x60"/>
        <s v="147x57"/>
        <s v="150×150×30"/>
        <s v="356x63x68"/>
        <s v="1206х63х68"/>
        <s v="-"/>
        <s v="340x180x50"/>
        <s v="600х210х80"/>
        <s v="936x878x300*"/>
        <s v="1100x630x630"/>
        <s v="460х100х130"/>
        <s v="1200х70х65"/>
        <s v="113х113х59"/>
        <s v="600х50х50"/>
        <s v="390х85х150"/>
        <s v="340х85х150"/>
        <s v="652х85х150"/>
        <s v="945х85х150"/>
        <s v="652х180х150"/>
        <s v="652х270х150"/>
        <s v="652х360х150"/>
        <s v="767x300x103"/>
        <s v="585x585x136"/>
        <s v="680x680x136"/>
        <s v="880x880x136"/>
        <s v="578x578x136"/>
        <s v="980x980x136"/>
        <s v="152х70х65"/>
        <s v="300х70х65"/>
        <s v="600х70х65"/>
        <s v="900х70х65"/>
        <s v="1500х70х65"/>
        <s v="935х30х25"/>
        <s v="635х30х25"/>
        <s v="100х100х150"/>
      </sharedItems>
    </cacheField>
    <cacheField name="Объем упаковки, куб.м" numFmtId="0">
      <sharedItems containsBlank="1" containsMixedTypes="1" containsNumber="1" minValue="1.2940200000000001E-3" maxValue="0.2"/>
    </cacheField>
    <cacheField name="Масса, кг" numFmtId="0">
      <sharedItems containsBlank="1" containsMixedTypes="1" containsNumber="1" minValue="0.2" maxValue="50" count="101">
        <m/>
        <n v="10"/>
        <n v="12"/>
        <n v="13.5"/>
        <n v="17.5"/>
        <n v="2"/>
        <n v="2.8"/>
        <n v="3.2"/>
        <n v="5.8"/>
        <n v="2.2999999999999998"/>
        <n v="3.3"/>
        <n v="1.3"/>
        <n v="1.2"/>
        <n v="3.19"/>
        <n v="1.4"/>
        <n v="2.1150000000000002"/>
        <n v="0.8"/>
        <n v="1.43"/>
        <n v="0.6"/>
        <n v="1"/>
        <n v="0.85"/>
        <n v="1.55"/>
        <n v="2.1"/>
        <n v="2.6"/>
        <n v="2.5"/>
        <n v="2.9"/>
        <n v="6.5"/>
        <n v="9"/>
        <n v="8"/>
        <n v="11.5"/>
        <n v="15"/>
        <n v="5"/>
        <n v="7.5"/>
        <n v="2.2000000000000002"/>
        <n v="3.5"/>
        <n v="4"/>
        <n v="1.9"/>
        <n v="5.2"/>
        <n v="1.8"/>
        <n v="3.15"/>
        <n v="1.65"/>
        <n v="2.95"/>
        <n v="1.35"/>
        <n v="1.7"/>
        <n v="1.5"/>
        <n v="3.6"/>
        <n v="7.3"/>
        <n v="10.199999999999999"/>
        <n v="13.6"/>
        <n v="7"/>
        <n v="11"/>
        <n v="1.6"/>
        <n v="4.4000000000000004"/>
        <n v="6.6"/>
        <n v="2.4"/>
        <n v="4.9000000000000004"/>
        <n v="6.1"/>
        <n v="4.8"/>
        <n v="5.6"/>
        <n v="1.1000000000000001"/>
        <n v="3"/>
        <n v="5.4"/>
        <n v="7.2"/>
        <n v="6"/>
        <n v="3.9"/>
        <n v="7.8"/>
        <n v="10.4"/>
        <n v="13"/>
        <n v="0.9"/>
        <n v="1.1499999999999999"/>
        <n v="1.85"/>
        <n v="2.25"/>
        <n v="3.85"/>
        <n v="3.95"/>
        <n v="4.7"/>
        <n v="5.7"/>
        <n v="7.1"/>
        <n v="6.65"/>
        <n v="8.4"/>
        <n v="9.6999999999999993"/>
        <n v="8.6999999999999993"/>
        <n v="11.6"/>
        <n v="1.855"/>
        <n v="0.5"/>
        <n v="0.7"/>
        <n v="0.3"/>
        <n v="0.4"/>
        <n v="0.2"/>
        <s v="-"/>
        <n v="30"/>
        <n v="50"/>
        <n v="14"/>
        <n v="1.92"/>
        <n v="4.3499999999999996"/>
        <n v="6.4"/>
        <n v="9.6"/>
        <n v="12.8"/>
        <n v="6.3"/>
        <n v="5.5"/>
        <n v="6.9"/>
        <n v="2.7"/>
      </sharedItems>
    </cacheField>
    <cacheField name="Рабочая температура окр. среды " numFmtId="0">
      <sharedItems containsBlank="1" count="15">
        <m/>
        <s v="-60°/+75° С"/>
        <s v="-40°/+40° С"/>
        <s v=" -40°/+40° С"/>
        <s v=" -60°/+60° С"/>
        <s v=" +1°/+30° С"/>
        <s v=" +1°/+40° С"/>
        <s v=" +1°/+35° С"/>
        <s v="-20°/+40° С"/>
        <s v="-60°/+40° С"/>
        <s v="-60/+40С"/>
        <s v="-40°/+50° С"/>
        <s v="-15°/+40° С"/>
        <s v="-"/>
        <s v="+1°/+40° С"/>
      </sharedItems>
    </cacheField>
    <cacheField name="Срок службы светодиодов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5"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"/>
    <x v="1"/>
    <x v="1"/>
    <n v="148"/>
    <s v="SB-00015858"/>
    <s v="К, 38"/>
    <x v="1"/>
    <x v="1"/>
    <x v="1"/>
    <s v="≥0,95"/>
    <s v="MeanWell или иной по запросу"/>
    <s v="I"/>
    <s v="Боросиликатная линза"/>
    <s v="&lt;1%"/>
    <x v="1"/>
    <n v="80"/>
    <s v="Samsung/Seoul 4 шт"/>
    <s v="700 мА"/>
    <x v="1"/>
    <s v="Литой экструдированный алюминиевый анодированный профиль"/>
    <s v="Поворотный кронштейн"/>
    <x v="1"/>
    <n v="2.1042000000000002E-2"/>
    <x v="1"/>
    <x v="1"/>
    <s v="100 000 ч"/>
  </r>
  <r>
    <x v="2"/>
    <x v="1"/>
    <x v="1"/>
    <n v="148"/>
    <s v="SB-00015838"/>
    <s v="Г, 45"/>
    <x v="1"/>
    <x v="1"/>
    <x v="1"/>
    <s v="≥0,95"/>
    <s v="MeanWell или иной по запросу"/>
    <s v="I"/>
    <s v="Боросиликатная линза"/>
    <s v="&lt;1%"/>
    <x v="1"/>
    <n v="80"/>
    <s v="Samsung/Seoul 4 шт"/>
    <s v="700 мА"/>
    <x v="1"/>
    <s v="Литой экструдированный алюминиевый анодированный профиль"/>
    <s v="Поворотный кронштейн"/>
    <x v="1"/>
    <n v="2.1042000000000002E-2"/>
    <x v="1"/>
    <x v="1"/>
    <s v="100 000 ч"/>
  </r>
  <r>
    <x v="3"/>
    <x v="1"/>
    <x v="1"/>
    <n v="148"/>
    <s v="SB-00015839"/>
    <s v="Г, 60"/>
    <x v="1"/>
    <x v="1"/>
    <x v="1"/>
    <s v="≥0,95"/>
    <s v="MeanWell или иной по запросу"/>
    <s v="I"/>
    <s v="Боросиликатная линза"/>
    <s v="&lt;1%"/>
    <x v="1"/>
    <n v="80"/>
    <s v="Samsung/Seoul 4 шт"/>
    <s v="700 мА"/>
    <x v="1"/>
    <s v="Литой экструдированный алюминиевый анодированный профиль"/>
    <s v="Поворотный кронштейн"/>
    <x v="1"/>
    <n v="2.1042000000000002E-2"/>
    <x v="1"/>
    <x v="1"/>
    <s v="100 000 ч"/>
  </r>
  <r>
    <x v="4"/>
    <x v="1"/>
    <x v="1"/>
    <n v="148"/>
    <s v="SB-00015840"/>
    <s v="Д, 90"/>
    <x v="1"/>
    <x v="1"/>
    <x v="1"/>
    <s v="≥0,95"/>
    <s v="MeanWell или иной по запросу"/>
    <s v="I"/>
    <s v="Боросиликатная линза"/>
    <s v="&lt;1%"/>
    <x v="1"/>
    <n v="80"/>
    <s v="Samsung/Seoul 4 шт"/>
    <s v="700 мА"/>
    <x v="1"/>
    <s v="Литой экструдированный алюминиевый анодированный профиль"/>
    <s v="Поворотный кронштейн"/>
    <x v="1"/>
    <n v="2.1042000000000002E-2"/>
    <x v="1"/>
    <x v="1"/>
    <s v="100 000 ч"/>
  </r>
  <r>
    <x v="5"/>
    <x v="1"/>
    <x v="1"/>
    <n v="148"/>
    <s v="SB-00015841"/>
    <s v="Д, 120"/>
    <x v="1"/>
    <x v="1"/>
    <x v="1"/>
    <s v="≥0,95"/>
    <s v="MeanWell или иной по запросу"/>
    <s v="I"/>
    <s v="Боросиликатная линза"/>
    <s v="&lt;1%"/>
    <x v="1"/>
    <n v="80"/>
    <s v="Samsung/Seoul 4 шт"/>
    <s v="700 мА"/>
    <x v="1"/>
    <s v="Литой экструдированный алюминиевый анодированный профиль"/>
    <s v="Поворотный кронштейн"/>
    <x v="1"/>
    <n v="2.1042000000000002E-2"/>
    <x v="1"/>
    <x v="1"/>
    <s v="100 000 ч"/>
  </r>
  <r>
    <x v="6"/>
    <x v="2"/>
    <x v="2"/>
    <n v="143"/>
    <s v="SB-00015842"/>
    <s v="К, 38"/>
    <x v="1"/>
    <x v="1"/>
    <x v="1"/>
    <s v="≥0,95"/>
    <s v="MeanWell или иной по запросу"/>
    <s v="I"/>
    <s v="Боросиликатная линза"/>
    <s v="&lt;1%"/>
    <x v="1"/>
    <n v="80"/>
    <s v="Samsung/Seoul 6 шт"/>
    <s v="700 мА"/>
    <x v="1"/>
    <s v="Литой экструдированный алюминиевый анодированный профиль"/>
    <s v="Поворотный кронштейн"/>
    <x v="2"/>
    <n v="2.8601999999999999E-2"/>
    <x v="2"/>
    <x v="1"/>
    <s v="100 000 ч"/>
  </r>
  <r>
    <x v="7"/>
    <x v="2"/>
    <x v="2"/>
    <n v="143"/>
    <s v="SB-00015843"/>
    <s v="Г, 45"/>
    <x v="1"/>
    <x v="1"/>
    <x v="1"/>
    <s v="≥0,95"/>
    <s v="MeanWell или иной по запросу"/>
    <s v="I"/>
    <s v="Боросиликатная линза"/>
    <s v="&lt;1%"/>
    <x v="1"/>
    <n v="80"/>
    <s v="Samsung/Seoul 6 шт"/>
    <s v="700 мА"/>
    <x v="1"/>
    <s v="Литой экструдированный алюминиевый анодированный профиль"/>
    <s v="Поворотный кронштейн"/>
    <x v="2"/>
    <n v="2.8601999999999999E-2"/>
    <x v="2"/>
    <x v="1"/>
    <s v="100 000 ч"/>
  </r>
  <r>
    <x v="8"/>
    <x v="2"/>
    <x v="2"/>
    <n v="143"/>
    <s v="SB-00015844"/>
    <s v="Г, 60"/>
    <x v="1"/>
    <x v="1"/>
    <x v="1"/>
    <s v="≥0,95"/>
    <s v="MeanWell или иной по запросу"/>
    <s v="I"/>
    <s v="Боросиликатная линза"/>
    <s v="&lt;1%"/>
    <x v="1"/>
    <n v="80"/>
    <s v="Samsung/Seoul 6 шт"/>
    <s v="700 мА"/>
    <x v="1"/>
    <s v="Литой экструдированный алюминиевый анодированный профиль"/>
    <s v="Поворотный кронштейн"/>
    <x v="2"/>
    <n v="2.8601999999999999E-2"/>
    <x v="2"/>
    <x v="1"/>
    <s v="100 000 ч"/>
  </r>
  <r>
    <x v="9"/>
    <x v="2"/>
    <x v="2"/>
    <n v="143"/>
    <s v="SB-00015845"/>
    <s v="Д, 90"/>
    <x v="1"/>
    <x v="1"/>
    <x v="1"/>
    <s v="≥0,95"/>
    <s v="MeanWell или иной по запросу"/>
    <s v="I"/>
    <s v="Боросиликатная линза"/>
    <s v="&lt;1%"/>
    <x v="1"/>
    <n v="80"/>
    <s v="Samsung/Seoul 6 шт"/>
    <s v="700 мА"/>
    <x v="1"/>
    <s v="Литой экструдированный алюминиевый анодированный профиль"/>
    <s v="Поворотный кронштейн"/>
    <x v="2"/>
    <n v="2.8601999999999999E-2"/>
    <x v="2"/>
    <x v="1"/>
    <s v="100 000 ч"/>
  </r>
  <r>
    <x v="10"/>
    <x v="2"/>
    <x v="2"/>
    <n v="143"/>
    <s v="SB-00015846"/>
    <s v="Д, 120"/>
    <x v="1"/>
    <x v="1"/>
    <x v="1"/>
    <s v="≥0,95"/>
    <s v="MeanWell или иной по запросу"/>
    <s v="I"/>
    <s v="Боросиликатная линза"/>
    <s v="&lt;1%"/>
    <x v="1"/>
    <n v="80"/>
    <s v="Samsung/Seoul 6 шт"/>
    <s v="700 мА"/>
    <x v="1"/>
    <s v="Литой экструдированный алюминиевый анодированный профиль"/>
    <s v="Поворотный кронштейн"/>
    <x v="2"/>
    <n v="2.8601999999999999E-2"/>
    <x v="2"/>
    <x v="1"/>
    <s v="100 000 ч"/>
  </r>
  <r>
    <x v="11"/>
    <x v="3"/>
    <x v="3"/>
    <n v="144"/>
    <s v="SB-00015847"/>
    <s v="К, 38"/>
    <x v="1"/>
    <x v="1"/>
    <x v="1"/>
    <s v="≥0,95"/>
    <s v="MeanWell или иной по запросу"/>
    <s v="I"/>
    <s v="Боросиликатная линза"/>
    <s v="&lt;1%"/>
    <x v="1"/>
    <n v="80"/>
    <s v="Samsung/Seoul 8 шт"/>
    <s v="700 мА"/>
    <x v="1"/>
    <s v="Литой экструдированный алюминиевый анодированный профиль"/>
    <s v="Поворотный кронштейн"/>
    <x v="3"/>
    <n v="3.6791999999999998E-2"/>
    <x v="3"/>
    <x v="1"/>
    <s v="100 000 ч"/>
  </r>
  <r>
    <x v="12"/>
    <x v="3"/>
    <x v="3"/>
    <n v="144"/>
    <s v="SB-00015848"/>
    <s v="Г, 45"/>
    <x v="1"/>
    <x v="1"/>
    <x v="1"/>
    <s v="≥0,95"/>
    <s v="MeanWell или иной по запросу"/>
    <s v="I"/>
    <s v="Боросиликатная линза"/>
    <s v="&lt;1%"/>
    <x v="1"/>
    <n v="80"/>
    <s v="Samsung/Seoul 8 шт"/>
    <s v="700 мА"/>
    <x v="1"/>
    <s v="Литой экструдированный алюминиевый анодированный профиль"/>
    <s v="Поворотный кронштейн"/>
    <x v="3"/>
    <n v="3.6791999999999998E-2"/>
    <x v="3"/>
    <x v="1"/>
    <s v="100 000 ч"/>
  </r>
  <r>
    <x v="13"/>
    <x v="3"/>
    <x v="3"/>
    <n v="144"/>
    <s v="SB-00015849"/>
    <s v="Г, 60"/>
    <x v="1"/>
    <x v="1"/>
    <x v="1"/>
    <s v="≥0,95"/>
    <s v="MeanWell или иной по запросу"/>
    <s v="I"/>
    <s v="Боросиликатная линза"/>
    <s v="&lt;1%"/>
    <x v="1"/>
    <n v="80"/>
    <s v="Samsung/Seoul 8 шт"/>
    <s v="700 мА"/>
    <x v="1"/>
    <s v="Литой экструдированный алюминиевый анодированный профиль"/>
    <s v="Поворотный кронштейн"/>
    <x v="3"/>
    <n v="3.6791999999999998E-2"/>
    <x v="3"/>
    <x v="1"/>
    <s v="100 000 ч"/>
  </r>
  <r>
    <x v="14"/>
    <x v="3"/>
    <x v="3"/>
    <n v="144"/>
    <s v="SB-00015850"/>
    <s v="Д, 90"/>
    <x v="1"/>
    <x v="1"/>
    <x v="1"/>
    <s v="≥0,95"/>
    <s v="MeanWell или иной по запросу"/>
    <s v="I"/>
    <s v="Боросиликатная линза"/>
    <s v="&lt;1%"/>
    <x v="1"/>
    <n v="80"/>
    <s v="Samsung/Seoul 8 шт"/>
    <s v="700 мА"/>
    <x v="1"/>
    <s v="Литой экструдированный алюминиевый анодированный профиль"/>
    <s v="Поворотный кронштейн"/>
    <x v="3"/>
    <n v="3.6791999999999998E-2"/>
    <x v="3"/>
    <x v="1"/>
    <s v="100 000 ч"/>
  </r>
  <r>
    <x v="15"/>
    <x v="3"/>
    <x v="3"/>
    <n v="144"/>
    <s v="SB-00015851"/>
    <s v="Д, 120"/>
    <x v="1"/>
    <x v="1"/>
    <x v="1"/>
    <s v="≥0,95"/>
    <s v="MeanWell или иной по запросу"/>
    <s v="I"/>
    <s v="Боросиликатная линза"/>
    <s v="&lt;1%"/>
    <x v="1"/>
    <n v="80"/>
    <s v="Samsung/Seoul 8 шт"/>
    <s v="700 мА"/>
    <x v="1"/>
    <s v="Литой экструдированный алюминиевый анодированный профиль"/>
    <s v="Поворотный кронштейн"/>
    <x v="3"/>
    <n v="3.6791999999999998E-2"/>
    <x v="3"/>
    <x v="1"/>
    <s v="100 000 ч"/>
  </r>
  <r>
    <x v="16"/>
    <x v="4"/>
    <x v="4"/>
    <n v="143"/>
    <s v="SB-00015852"/>
    <s v="К, 38"/>
    <x v="1"/>
    <x v="1"/>
    <x v="1"/>
    <s v="≥0,95"/>
    <s v="MeanWell или иной по запросу"/>
    <s v="I"/>
    <s v="Боросиликатная линза"/>
    <s v="&lt;1%"/>
    <x v="1"/>
    <n v="80"/>
    <s v="Samsung/Seoul 10 шт"/>
    <s v="700 мА"/>
    <x v="1"/>
    <s v="Литой экструдированный алюминиевый анодированный профиль"/>
    <s v="Поворотный кронштейн"/>
    <x v="4"/>
    <n v="4.4982000000000001E-2"/>
    <x v="4"/>
    <x v="1"/>
    <s v="100 000 ч"/>
  </r>
  <r>
    <x v="17"/>
    <x v="4"/>
    <x v="4"/>
    <n v="143"/>
    <s v="SB-00015853"/>
    <s v="Г, 45"/>
    <x v="1"/>
    <x v="1"/>
    <x v="1"/>
    <s v="≥0,95"/>
    <s v="MeanWell или иной по запросу"/>
    <s v="I"/>
    <s v="Боросиликатная линза"/>
    <s v="&lt;1%"/>
    <x v="1"/>
    <n v="80"/>
    <s v="Samsung/Seoul 10 шт"/>
    <s v="700 мА"/>
    <x v="1"/>
    <s v="Литой экструдированный алюминиевый анодированный профиль"/>
    <s v="Поворотный кронштейн"/>
    <x v="4"/>
    <n v="4.4982000000000001E-2"/>
    <x v="4"/>
    <x v="1"/>
    <s v="100 000 ч"/>
  </r>
  <r>
    <x v="18"/>
    <x v="4"/>
    <x v="4"/>
    <n v="143"/>
    <s v="SB-00015854"/>
    <s v="Г, 60"/>
    <x v="1"/>
    <x v="1"/>
    <x v="1"/>
    <s v="≥0,95"/>
    <s v="MeanWell или иной по запросу"/>
    <s v="I"/>
    <s v="Боросиликатная линза"/>
    <s v="&lt;1%"/>
    <x v="1"/>
    <n v="80"/>
    <s v="Samsung/Seoul 10 шт"/>
    <s v="700 мА"/>
    <x v="1"/>
    <s v="Литой экструдированный алюминиевый анодированный профиль"/>
    <s v="Поворотный кронштейн"/>
    <x v="4"/>
    <n v="4.4982000000000001E-2"/>
    <x v="4"/>
    <x v="1"/>
    <s v="100 000 ч"/>
  </r>
  <r>
    <x v="19"/>
    <x v="4"/>
    <x v="4"/>
    <n v="143"/>
    <s v="SB-00015855"/>
    <s v="Д, 90"/>
    <x v="1"/>
    <x v="1"/>
    <x v="1"/>
    <s v="≥0,95"/>
    <s v="MeanWell или иной по запросу"/>
    <s v="I"/>
    <s v="Боросиликатная линза"/>
    <s v="&lt;1%"/>
    <x v="1"/>
    <n v="80"/>
    <s v="Samsung/Seoul 10 шт"/>
    <s v="700 мА"/>
    <x v="1"/>
    <s v="Литой экструдированный алюминиевый анодированный профиль"/>
    <s v="Поворотный кронштейн"/>
    <x v="4"/>
    <n v="4.4982000000000001E-2"/>
    <x v="4"/>
    <x v="1"/>
    <s v="100 000 ч"/>
  </r>
  <r>
    <x v="20"/>
    <x v="4"/>
    <x v="4"/>
    <n v="143"/>
    <s v="SB-00015856"/>
    <s v="Д, 120"/>
    <x v="1"/>
    <x v="1"/>
    <x v="1"/>
    <s v="≥0,95"/>
    <s v="MeanWell или иной по запросу"/>
    <s v="I"/>
    <s v="Боросиликатная линза"/>
    <s v="&lt;1%"/>
    <x v="1"/>
    <n v="80"/>
    <s v="Samsung/Seoul 10 шт"/>
    <s v="700 мА"/>
    <x v="1"/>
    <s v="Литой экструдированный алюминиевый анодированный профиль"/>
    <s v="Поворотный кронштейн"/>
    <x v="4"/>
    <n v="4.4982000000000001E-2"/>
    <x v="4"/>
    <x v="1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21"/>
    <x v="5"/>
    <x v="5"/>
    <n v="156"/>
    <s v="SB-00018019"/>
    <s v="Д, 120"/>
    <x v="2"/>
    <x v="2"/>
    <x v="2"/>
    <s v="≥0,95"/>
    <s v="Аргос"/>
    <s v="I"/>
    <s v="Прозрачный поликарбонат"/>
    <s v="&lt;1%"/>
    <x v="2"/>
    <n v="80"/>
    <s v="Samsung LM281B+ 84 шт"/>
    <s v="117мА"/>
    <x v="1"/>
    <s v="Литой экструдированный алюминиевый анодированный профиль"/>
    <s v="Поворотный кронштейн с хомутом на трубу до 50.8мм"/>
    <x v="5"/>
    <n v="3.0717960000000003E-3"/>
    <x v="0"/>
    <x v="2"/>
    <s v="100 000 ч"/>
  </r>
  <r>
    <x v="22"/>
    <x v="6"/>
    <x v="6"/>
    <n v="162"/>
    <s v="SB-00018091"/>
    <s v="Д, 120"/>
    <x v="2"/>
    <x v="2"/>
    <x v="2"/>
    <s v="≥0,95"/>
    <s v="Аргос"/>
    <s v="I"/>
    <s v="Прозрачный поликарбонат"/>
    <s v="&lt;1%"/>
    <x v="2"/>
    <n v="80"/>
    <s v="Samsung LM281B+ 132 шт"/>
    <s v="117мА"/>
    <x v="1"/>
    <s v="Литой экструдированный алюминиевый анодированный профиль"/>
    <s v="Поворотный кронштейн с хомутом на трубу до 50.8мм"/>
    <x v="6"/>
    <n v="3.8102085E-3"/>
    <x v="0"/>
    <x v="2"/>
    <s v="100 000 ч"/>
  </r>
  <r>
    <x v="23"/>
    <x v="7"/>
    <x v="7"/>
    <n v="163"/>
    <s v="SB-00018092"/>
    <s v="Д, 120"/>
    <x v="2"/>
    <x v="2"/>
    <x v="2"/>
    <s v="≥0,95"/>
    <s v="Аргос"/>
    <s v="I"/>
    <s v="Прозрачный поликарбонат"/>
    <s v="&lt;1%"/>
    <x v="2"/>
    <n v="80"/>
    <s v="Samsung LM281B+ 168 шт"/>
    <s v="117мА"/>
    <x v="1"/>
    <s v="Литой экструдированный алюминиевый анодированный профиль"/>
    <s v="Поворотный кронштейн с хомутом на трубу до 50.8мм"/>
    <x v="7"/>
    <n v="4.5486210000000001E-3"/>
    <x v="0"/>
    <x v="2"/>
    <s v="100 000 ч"/>
  </r>
  <r>
    <x v="24"/>
    <x v="8"/>
    <x v="8"/>
    <n v="156"/>
    <s v="SB-00018093"/>
    <s v="Д, 120"/>
    <x v="2"/>
    <x v="2"/>
    <x v="2"/>
    <s v="≥0,95"/>
    <s v="Аргос"/>
    <s v="I"/>
    <s v="Прозрачный поликарбонат"/>
    <s v="&lt;1%"/>
    <x v="2"/>
    <n v="80"/>
    <s v="Samsung LM281B+ 216 шт"/>
    <s v="117мА"/>
    <x v="1"/>
    <s v="Литой экструдированный алюминиевый анодированный профиль"/>
    <s v="Поворотный кронштейн с хомутом на трубу до 50.8мм"/>
    <x v="8"/>
    <n v="6.7638585000000008E-3"/>
    <x v="0"/>
    <x v="2"/>
    <s v="100 000 ч"/>
  </r>
  <r>
    <x v="25"/>
    <x v="9"/>
    <x v="9"/>
    <n v="163"/>
    <s v="SB-00018094"/>
    <s v="Д, 120"/>
    <x v="2"/>
    <x v="2"/>
    <x v="2"/>
    <s v="≥0,95"/>
    <s v="Аргос"/>
    <s v="I"/>
    <s v="Прозрачный поликарбонат"/>
    <s v="&lt;1%"/>
    <x v="2"/>
    <n v="80"/>
    <s v="Samsung LM281B+ 264 шт"/>
    <s v="117мА"/>
    <x v="1"/>
    <s v="Литой экструдированный алюминиевый анодированный профиль"/>
    <s v="Поворотный кронштейн с хомутом на трубу до 50.8мм"/>
    <x v="9"/>
    <n v="7.5022710000000005E-3"/>
    <x v="0"/>
    <x v="2"/>
    <s v="100 000 ч"/>
  </r>
  <r>
    <x v="26"/>
    <x v="10"/>
    <x v="10"/>
    <n v="163"/>
    <s v="SB-00018095"/>
    <s v="Д, 120"/>
    <x v="2"/>
    <x v="2"/>
    <x v="2"/>
    <s v="≥0,95"/>
    <s v="Аргос"/>
    <s v="I"/>
    <s v="Прозрачный поликарбонат"/>
    <s v="&lt;1%"/>
    <x v="2"/>
    <n v="80"/>
    <s v="Samsung LM281B+ 168x2 шт"/>
    <s v="117мА"/>
    <x v="1"/>
    <s v="Литой экструдированный алюминиевый анодированный профиль"/>
    <s v="Поворотный кронштейн"/>
    <x v="10"/>
    <n v="2.0532959999999999E-2"/>
    <x v="0"/>
    <x v="2"/>
    <s v="100 000 ч"/>
  </r>
  <r>
    <x v="27"/>
    <x v="11"/>
    <x v="11"/>
    <n v="156"/>
    <s v="SB-00018096"/>
    <s v="Д, 120"/>
    <x v="2"/>
    <x v="2"/>
    <x v="2"/>
    <s v="≥0,95"/>
    <s v="Аргос"/>
    <s v="I"/>
    <s v="Прозрачный поликарбонат"/>
    <s v="&lt;1%"/>
    <x v="2"/>
    <n v="80"/>
    <s v="Samsung LM281B+ 216x2 шт"/>
    <s v="117мА"/>
    <x v="1"/>
    <s v="Литой экструдированный алюминиевый анодированный профиль"/>
    <s v="Поворотный кронштейн"/>
    <x v="11"/>
    <n v="2.9131137000000001E-2"/>
    <x v="0"/>
    <x v="2"/>
    <s v="100 000 ч"/>
  </r>
  <r>
    <x v="28"/>
    <x v="12"/>
    <x v="12"/>
    <n v="163"/>
    <s v="SB-00018097"/>
    <s v="Д, 120"/>
    <x v="2"/>
    <x v="2"/>
    <x v="2"/>
    <s v="≥0,95"/>
    <s v="Аргос"/>
    <s v="I"/>
    <s v="Прозрачный поликарбонат"/>
    <s v="&lt;1%"/>
    <x v="2"/>
    <n v="80"/>
    <s v="Samsung LM281B+ 264x2 шт"/>
    <s v="117мА"/>
    <x v="1"/>
    <s v="Литой экструдированный алюминиевый анодированный профиль"/>
    <s v="Поворотный кронштейн"/>
    <x v="12"/>
    <n v="3.2339412000000005E-2"/>
    <x v="0"/>
    <x v="2"/>
    <s v="100 000 ч"/>
  </r>
  <r>
    <x v="29"/>
    <x v="13"/>
    <x v="13"/>
    <n v="163"/>
    <s v="SB-00018098"/>
    <s v="Д, 120"/>
    <x v="2"/>
    <x v="2"/>
    <x v="2"/>
    <s v="≥0,95"/>
    <s v="Аргос"/>
    <s v="I"/>
    <s v="Прозрачный поликарбонат"/>
    <s v="&lt;1%"/>
    <x v="2"/>
    <n v="80"/>
    <s v="Samsung LM281B+ 168x3 шт"/>
    <s v="117мА"/>
    <x v="1"/>
    <s v="Литой экструдированный алюминиевый анодированный профиль"/>
    <s v="Поворотный кронштейн"/>
    <x v="13"/>
    <n v="3.1288320000000001E-2"/>
    <x v="0"/>
    <x v="2"/>
    <s v="100 000 ч"/>
  </r>
  <r>
    <x v="30"/>
    <x v="14"/>
    <x v="14"/>
    <n v="156"/>
    <s v="SB-00018099"/>
    <s v="Д, 120"/>
    <x v="2"/>
    <x v="2"/>
    <x v="2"/>
    <s v="≥0,95"/>
    <s v="Аргос"/>
    <s v="I"/>
    <s v="Прозрачный поликарбонат"/>
    <s v="&lt;1%"/>
    <x v="2"/>
    <n v="80"/>
    <s v="Samsung LM281B+ 216x3 шт"/>
    <s v="117мА"/>
    <x v="1"/>
    <s v="Литой экструдированный алюминиевый анодированный профиль"/>
    <s v="Поворотный кронштейн"/>
    <x v="14"/>
    <n v="4.4390303999999998E-2"/>
    <x v="0"/>
    <x v="2"/>
    <s v="100 000 ч"/>
  </r>
  <r>
    <x v="31"/>
    <x v="15"/>
    <x v="15"/>
    <n v="163"/>
    <s v="SB-00018100"/>
    <s v="Д, 120"/>
    <x v="2"/>
    <x v="2"/>
    <x v="2"/>
    <s v="≥0,95"/>
    <s v="Аргос"/>
    <s v="I"/>
    <s v="Прозрачный поликарбонат"/>
    <s v="&lt;1%"/>
    <x v="2"/>
    <n v="80"/>
    <s v="Samsung LM281B+ 264x3 шт"/>
    <s v="117мА"/>
    <x v="1"/>
    <s v="Литой экструдированный алюминиевый анодированный профиль"/>
    <s v="Поворотный кронштейн"/>
    <x v="15"/>
    <n v="4.9279104000000004E-2"/>
    <x v="0"/>
    <x v="2"/>
    <s v="100 000 ч"/>
  </r>
  <r>
    <x v="32"/>
    <x v="16"/>
    <x v="16"/>
    <n v="163"/>
    <s v="SB-00018101"/>
    <s v="Д, 120"/>
    <x v="2"/>
    <x v="2"/>
    <x v="2"/>
    <s v="≥0,95"/>
    <s v="Аргос"/>
    <s v="I"/>
    <s v="Прозрачный поликарбонат"/>
    <s v="&lt;1%"/>
    <x v="2"/>
    <n v="80"/>
    <s v="Samsung LM281B+ 168x4 шт"/>
    <s v="117мА"/>
    <x v="1"/>
    <s v="Литой экструдированный алюминиевый анодированный профиль"/>
    <s v="Поворотный кронштейн"/>
    <x v="16"/>
    <n v="4.1750351999999998E-2"/>
    <x v="0"/>
    <x v="2"/>
    <s v="100 000 ч"/>
  </r>
  <r>
    <x v="33"/>
    <x v="17"/>
    <x v="17"/>
    <n v="156"/>
    <s v="SB-00018102"/>
    <s v="Д, 120"/>
    <x v="2"/>
    <x v="2"/>
    <x v="2"/>
    <s v="≥0,95"/>
    <s v="Аргос"/>
    <s v="I"/>
    <s v="Прозрачный поликарбонат"/>
    <s v="&lt;1%"/>
    <x v="2"/>
    <n v="80"/>
    <s v="Samsung LM281B+ 216x4 шт"/>
    <s v="117мА"/>
    <x v="1"/>
    <s v="Литой экструдированный алюминиевый анодированный профиль"/>
    <s v="Поворотный кронштейн"/>
    <x v="17"/>
    <n v="5.9233311900000002E-2"/>
    <x v="0"/>
    <x v="2"/>
    <s v="100 000 ч"/>
  </r>
  <r>
    <x v="34"/>
    <x v="18"/>
    <x v="18"/>
    <n v="163"/>
    <s v="SB-00018103"/>
    <s v="Д, 120"/>
    <x v="2"/>
    <x v="2"/>
    <x v="2"/>
    <s v="≥0,95"/>
    <s v="Аргос"/>
    <s v="I"/>
    <s v="Прозрачный поликарбонат"/>
    <s v="&lt;1%"/>
    <x v="2"/>
    <n v="80"/>
    <s v="Samsung LM281B+ 264x4 шт"/>
    <s v="117мА"/>
    <x v="1"/>
    <s v="Литой экструдированный алюминиевый анодированный профиль"/>
    <s v="Поворотный кронштейн"/>
    <x v="18"/>
    <n v="6.5756804400000007E-2"/>
    <x v="0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35"/>
    <x v="19"/>
    <x v="19"/>
    <n v="154"/>
    <s v="SB-00018104"/>
    <s v="ШБ, 45x140"/>
    <x v="2"/>
    <x v="2"/>
    <x v="2"/>
    <s v="≥0,95"/>
    <s v="Аргос"/>
    <s v="I"/>
    <s v="Прозрачный поликарбонат"/>
    <s v="&lt;1%"/>
    <x v="2"/>
    <n v="70"/>
    <s v="CREE/Samsung 12шт"/>
    <s v="350мА"/>
    <x v="1"/>
    <s v="Литой экструдированный алюминиевый анодированный профиль"/>
    <s v="Поворотный кронштейн с хомутом на трубу до 50.8мм"/>
    <x v="5"/>
    <n v="3.0717960000000003E-3"/>
    <x v="0"/>
    <x v="2"/>
    <s v="100 000 ч"/>
  </r>
  <r>
    <x v="36"/>
    <x v="19"/>
    <x v="19"/>
    <n v="154"/>
    <s v="SB-00018105"/>
    <s v="К, 20"/>
    <x v="2"/>
    <x v="2"/>
    <x v="2"/>
    <s v="≥0,95"/>
    <s v="Аргос"/>
    <s v="I"/>
    <s v="Прозрачный поликарбонат"/>
    <s v="&lt;1%"/>
    <x v="2"/>
    <n v="70"/>
    <s v="CREE/Samsung 12шт"/>
    <s v="350мА"/>
    <x v="1"/>
    <s v="Литой экструдированный алюминиевый анодированный профиль"/>
    <s v="Поворотный кронштейн с хомутом на трубу до 50.8мм"/>
    <x v="5"/>
    <n v="3.0717960000000003E-3"/>
    <x v="0"/>
    <x v="2"/>
    <s v="100 000 ч"/>
  </r>
  <r>
    <x v="37"/>
    <x v="19"/>
    <x v="19"/>
    <n v="154"/>
    <s v="SB-00018106"/>
    <s v="К, 35"/>
    <x v="2"/>
    <x v="2"/>
    <x v="2"/>
    <s v="≥0,95"/>
    <s v="Аргос"/>
    <s v="I"/>
    <s v="Прозрачный поликарбонат"/>
    <s v="&lt;1%"/>
    <x v="2"/>
    <n v="70"/>
    <s v="CREE/Samsung 12шт"/>
    <s v="350мА"/>
    <x v="1"/>
    <s v="Литой экструдированный алюминиевый анодированный профиль"/>
    <s v="Поворотный кронштейн с хомутом на трубу до 50.8мм"/>
    <x v="5"/>
    <n v="3.0717960000000003E-3"/>
    <x v="0"/>
    <x v="2"/>
    <s v="100 000 ч"/>
  </r>
  <r>
    <x v="38"/>
    <x v="19"/>
    <x v="19"/>
    <n v="154"/>
    <s v="SB-00018107"/>
    <s v="Г, 65"/>
    <x v="2"/>
    <x v="2"/>
    <x v="2"/>
    <s v="≥0,95"/>
    <s v="Аргос"/>
    <s v="I"/>
    <s v="Прозрачный поликарбонат"/>
    <s v="&lt;1%"/>
    <x v="2"/>
    <n v="70"/>
    <s v="CREE/Samsung 12шт"/>
    <s v="350мА"/>
    <x v="1"/>
    <s v="Литой экструдированный алюминиевый анодированный профиль"/>
    <s v="Поворотный кронштейн с хомутом на трубу до 50.8мм"/>
    <x v="5"/>
    <n v="3.0717960000000003E-3"/>
    <x v="0"/>
    <x v="2"/>
    <s v="100 000 ч"/>
  </r>
  <r>
    <x v="39"/>
    <x v="19"/>
    <x v="19"/>
    <n v="154"/>
    <s v="SB-00018108"/>
    <s v="Д, 100"/>
    <x v="2"/>
    <x v="2"/>
    <x v="2"/>
    <s v="≥0,95"/>
    <s v="Аргос"/>
    <s v="I"/>
    <s v="Прозрачный поликарбонат"/>
    <s v="&lt;1%"/>
    <x v="2"/>
    <n v="70"/>
    <s v="CREE/Samsung 12шт"/>
    <s v="350мА"/>
    <x v="1"/>
    <s v="Литой экструдированный алюминиевый анодированный профиль"/>
    <s v="Поворотный кронштейн с хомутом на трубу до 50.8мм"/>
    <x v="5"/>
    <n v="3.0717960000000003E-3"/>
    <x v="0"/>
    <x v="2"/>
    <s v="100 000 ч"/>
  </r>
  <r>
    <x v="40"/>
    <x v="19"/>
    <x v="19"/>
    <n v="154"/>
    <s v="SB-00017911"/>
    <s v="Овал 30x120"/>
    <x v="2"/>
    <x v="2"/>
    <x v="2"/>
    <s v="≥0,95"/>
    <s v="Аргос"/>
    <s v="I"/>
    <s v="Прозрачный поликарбонат"/>
    <s v="&lt;1%"/>
    <x v="2"/>
    <n v="70"/>
    <s v="CREE/Samsung 12шт"/>
    <s v="350мА"/>
    <x v="1"/>
    <s v="Литой экструдированный алюминиевый анодированный профиль"/>
    <s v="Поворотный кронштейн с хомутом на трубу до 50.8мм"/>
    <x v="5"/>
    <n v="3.0717960000000003E-3"/>
    <x v="0"/>
    <x v="2"/>
    <s v="100 000 ч"/>
  </r>
  <r>
    <x v="41"/>
    <x v="19"/>
    <x v="19"/>
    <n v="154"/>
    <s v="SB-00018109"/>
    <s v="Ш, 150"/>
    <x v="2"/>
    <x v="2"/>
    <x v="2"/>
    <s v="≥0,95"/>
    <s v="Аргос"/>
    <s v="I"/>
    <s v="Прозрачный поликарбонат"/>
    <s v="&lt;1%"/>
    <x v="2"/>
    <n v="70"/>
    <s v="CREE/Samsung 12шт"/>
    <s v="350мА"/>
    <x v="1"/>
    <s v="Литой экструдированный алюминиевый анодированный профиль"/>
    <s v="Поворотный кронштейн с хомутом на трубу до 50.8мм"/>
    <x v="5"/>
    <n v="3.0717960000000003E-3"/>
    <x v="0"/>
    <x v="2"/>
    <s v="100 000 ч"/>
  </r>
  <r>
    <x v="42"/>
    <x v="20"/>
    <x v="20"/>
    <n v="154"/>
    <s v="SB-00018110"/>
    <s v="ШБ, 45x140"/>
    <x v="2"/>
    <x v="2"/>
    <x v="2"/>
    <s v="≥0,95"/>
    <s v="Аргос"/>
    <s v="I"/>
    <s v="Прозрачный поликарбонат"/>
    <s v="&lt;1%"/>
    <x v="2"/>
    <n v="70"/>
    <s v="CREE/Samsung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19"/>
    <n v="6.0254460000000003E-3"/>
    <x v="0"/>
    <x v="2"/>
    <s v="100 000 ч"/>
  </r>
  <r>
    <x v="43"/>
    <x v="20"/>
    <x v="20"/>
    <n v="154"/>
    <s v="SB-00018111"/>
    <s v="К, 20"/>
    <x v="2"/>
    <x v="2"/>
    <x v="2"/>
    <s v="≥0,95"/>
    <s v="Аргос"/>
    <s v="I"/>
    <s v="Прозрачный поликарбонат"/>
    <s v="&lt;1%"/>
    <x v="2"/>
    <n v="70"/>
    <s v="CREE/Samsung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19"/>
    <n v="6.0254460000000003E-3"/>
    <x v="0"/>
    <x v="2"/>
    <s v="100 000 ч"/>
  </r>
  <r>
    <x v="44"/>
    <x v="20"/>
    <x v="20"/>
    <n v="154"/>
    <s v="SB-00018112"/>
    <s v="К, 35"/>
    <x v="2"/>
    <x v="2"/>
    <x v="2"/>
    <s v="≥0,95"/>
    <s v="Аргос"/>
    <s v="I"/>
    <s v="Прозрачный поликарбонат"/>
    <s v="&lt;1%"/>
    <x v="2"/>
    <n v="70"/>
    <s v="CREE/Samsung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19"/>
    <n v="6.0254460000000003E-3"/>
    <x v="0"/>
    <x v="2"/>
    <s v="100 000 ч"/>
  </r>
  <r>
    <x v="45"/>
    <x v="20"/>
    <x v="20"/>
    <n v="154"/>
    <s v="SB-00018113"/>
    <s v="Г, 65"/>
    <x v="2"/>
    <x v="2"/>
    <x v="2"/>
    <s v="≥0,95"/>
    <s v="Аргос"/>
    <s v="I"/>
    <s v="Прозрачный поликарбонат"/>
    <s v="&lt;1%"/>
    <x v="2"/>
    <n v="70"/>
    <s v="CREE/Samsung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19"/>
    <n v="6.0254460000000003E-3"/>
    <x v="0"/>
    <x v="2"/>
    <s v="100 000 ч"/>
  </r>
  <r>
    <x v="46"/>
    <x v="20"/>
    <x v="20"/>
    <n v="154"/>
    <s v="SB-00018114"/>
    <s v="Д, 100"/>
    <x v="2"/>
    <x v="2"/>
    <x v="2"/>
    <s v="≥0,95"/>
    <s v="Аргос"/>
    <s v="I"/>
    <s v="Прозрачный поликарбонат"/>
    <s v="&lt;1%"/>
    <x v="2"/>
    <n v="70"/>
    <s v="CREE/Samsung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19"/>
    <n v="6.0254460000000003E-3"/>
    <x v="0"/>
    <x v="2"/>
    <s v="100 000 ч"/>
  </r>
  <r>
    <x v="47"/>
    <x v="20"/>
    <x v="20"/>
    <n v="154"/>
    <s v="SB-00018115"/>
    <s v="Овал 30x120"/>
    <x v="2"/>
    <x v="2"/>
    <x v="2"/>
    <s v="≥0,95"/>
    <s v="Аргос"/>
    <s v="I"/>
    <s v="Прозрачный поликарбонат"/>
    <s v="&lt;1%"/>
    <x v="2"/>
    <n v="70"/>
    <s v="CREE/Samsung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19"/>
    <n v="6.0254460000000003E-3"/>
    <x v="0"/>
    <x v="2"/>
    <s v="100 000 ч"/>
  </r>
  <r>
    <x v="48"/>
    <x v="20"/>
    <x v="20"/>
    <n v="154"/>
    <s v="SB-00018116"/>
    <s v="Ш, 150"/>
    <x v="2"/>
    <x v="2"/>
    <x v="2"/>
    <s v="≥0,95"/>
    <s v="Аргос"/>
    <s v="I"/>
    <s v="Прозрачный поликарбонат"/>
    <s v="&lt;1%"/>
    <x v="2"/>
    <n v="70"/>
    <s v="CREE/Samsung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19"/>
    <n v="6.0254460000000003E-3"/>
    <x v="0"/>
    <x v="2"/>
    <s v="100 000 ч"/>
  </r>
  <r>
    <x v="49"/>
    <x v="21"/>
    <x v="21"/>
    <n v="153"/>
    <s v="SB-00018117"/>
    <s v="ШБ, 45x140"/>
    <x v="2"/>
    <x v="2"/>
    <x v="2"/>
    <s v="≥0,95"/>
    <s v="Аргос"/>
    <s v="I"/>
    <s v="Прозрачный поликарбонат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20"/>
    <n v="8.9790960000000006E-3"/>
    <x v="0"/>
    <x v="2"/>
    <s v="100 000 ч"/>
  </r>
  <r>
    <x v="50"/>
    <x v="21"/>
    <x v="21"/>
    <n v="153"/>
    <s v="SB-00018118"/>
    <s v="К, 20"/>
    <x v="2"/>
    <x v="2"/>
    <x v="2"/>
    <s v="≥0,95"/>
    <s v="Аргос"/>
    <s v="I"/>
    <s v="Прозрачный поликарбонат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20"/>
    <n v="8.9790960000000006E-3"/>
    <x v="0"/>
    <x v="2"/>
    <s v="100 000 ч"/>
  </r>
  <r>
    <x v="51"/>
    <x v="21"/>
    <x v="21"/>
    <n v="153"/>
    <s v="SB-00018119"/>
    <s v="К, 35"/>
    <x v="2"/>
    <x v="2"/>
    <x v="2"/>
    <s v="≥0,95"/>
    <s v="Аргос"/>
    <s v="I"/>
    <s v="Прозрачный поликарбонат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20"/>
    <n v="8.9790960000000006E-3"/>
    <x v="0"/>
    <x v="2"/>
    <s v="100 000 ч"/>
  </r>
  <r>
    <x v="52"/>
    <x v="21"/>
    <x v="21"/>
    <n v="153"/>
    <s v="SB-00018120"/>
    <s v="Г, 65"/>
    <x v="2"/>
    <x v="2"/>
    <x v="2"/>
    <s v="≥0,95"/>
    <s v="Аргос"/>
    <s v="I"/>
    <s v="Прозрачный поликарбонат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20"/>
    <n v="8.9790960000000006E-3"/>
    <x v="0"/>
    <x v="2"/>
    <s v="100 000 ч"/>
  </r>
  <r>
    <x v="53"/>
    <x v="21"/>
    <x v="21"/>
    <n v="153"/>
    <s v="SB-00018121"/>
    <s v="Д, 100"/>
    <x v="2"/>
    <x v="2"/>
    <x v="2"/>
    <s v="≥0,95"/>
    <s v="Аргос"/>
    <s v="I"/>
    <s v="Прозрачный поликарбонат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20"/>
    <n v="8.9790960000000006E-3"/>
    <x v="0"/>
    <x v="2"/>
    <s v="100 000 ч"/>
  </r>
  <r>
    <x v="54"/>
    <x v="21"/>
    <x v="21"/>
    <n v="153"/>
    <s v="SB-00018122"/>
    <s v="Овал 30x120"/>
    <x v="2"/>
    <x v="2"/>
    <x v="2"/>
    <s v="≥0,95"/>
    <s v="Аргос"/>
    <s v="I"/>
    <s v="Прозрачный поликарбонат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20"/>
    <n v="8.9790960000000006E-3"/>
    <x v="0"/>
    <x v="2"/>
    <s v="100 000 ч"/>
  </r>
  <r>
    <x v="55"/>
    <x v="21"/>
    <x v="21"/>
    <n v="153"/>
    <s v="SB-00018123"/>
    <s v="Ш, 150"/>
    <x v="2"/>
    <x v="2"/>
    <x v="2"/>
    <s v="≥0,95"/>
    <s v="Аргос"/>
    <s v="I"/>
    <s v="Прозрачный поликарбонат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20"/>
    <n v="8.9790960000000006E-3"/>
    <x v="0"/>
    <x v="2"/>
    <s v="100 000 ч"/>
  </r>
  <r>
    <x v="56"/>
    <x v="22"/>
    <x v="22"/>
    <n v="162"/>
    <s v="SB-00018124"/>
    <s v="ШБ, 45x140"/>
    <x v="2"/>
    <x v="2"/>
    <x v="2"/>
    <s v="≥0,95"/>
    <s v="Аргос"/>
    <s v="I"/>
    <s v="Прозрачный поликарбонат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21"/>
    <n v="1.3511421000000001E-2"/>
    <x v="0"/>
    <x v="2"/>
    <s v="100 000 ч"/>
  </r>
  <r>
    <x v="57"/>
    <x v="22"/>
    <x v="22"/>
    <n v="162"/>
    <s v="SB-00018125"/>
    <s v="К, 20"/>
    <x v="2"/>
    <x v="2"/>
    <x v="2"/>
    <s v="≥0,95"/>
    <s v="Аргос"/>
    <s v="I"/>
    <s v="Прозрачный поликарбонат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21"/>
    <n v="1.3511421000000001E-2"/>
    <x v="0"/>
    <x v="2"/>
    <s v="100 000 ч"/>
  </r>
  <r>
    <x v="58"/>
    <x v="22"/>
    <x v="22"/>
    <n v="162"/>
    <s v="SB-00018126"/>
    <s v="К, 35"/>
    <x v="2"/>
    <x v="2"/>
    <x v="2"/>
    <s v="≥0,95"/>
    <s v="Аргос"/>
    <s v="I"/>
    <s v="Прозрачный поликарбонат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21"/>
    <n v="1.3511421000000001E-2"/>
    <x v="0"/>
    <x v="2"/>
    <s v="100 000 ч"/>
  </r>
  <r>
    <x v="59"/>
    <x v="22"/>
    <x v="22"/>
    <n v="162"/>
    <s v="SB-00018127"/>
    <s v="Г, 65"/>
    <x v="2"/>
    <x v="2"/>
    <x v="2"/>
    <s v="≥0,95"/>
    <s v="Аргос"/>
    <s v="I"/>
    <s v="Прозрачный поликарбонат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21"/>
    <n v="1.3511421000000001E-2"/>
    <x v="0"/>
    <x v="2"/>
    <s v="100 000 ч"/>
  </r>
  <r>
    <x v="60"/>
    <x v="22"/>
    <x v="22"/>
    <n v="162"/>
    <s v="SB-00018128"/>
    <s v="Д, 100"/>
    <x v="2"/>
    <x v="2"/>
    <x v="2"/>
    <s v="≥0,95"/>
    <s v="Аргос"/>
    <s v="I"/>
    <s v="Прозрачный поликарбонат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21"/>
    <n v="1.3511421000000001E-2"/>
    <x v="0"/>
    <x v="2"/>
    <s v="100 000 ч"/>
  </r>
  <r>
    <x v="61"/>
    <x v="22"/>
    <x v="22"/>
    <n v="162"/>
    <s v="SB-00018129"/>
    <s v="Овал 30x120"/>
    <x v="2"/>
    <x v="2"/>
    <x v="2"/>
    <s v="≥0,95"/>
    <s v="Аргос"/>
    <s v="I"/>
    <s v="Прозрачный поликарбонат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21"/>
    <n v="1.3511421000000001E-2"/>
    <x v="0"/>
    <x v="2"/>
    <s v="100 000 ч"/>
  </r>
  <r>
    <x v="62"/>
    <x v="22"/>
    <x v="22"/>
    <n v="162"/>
    <s v="SB-00018130"/>
    <s v="Ш, 150"/>
    <x v="2"/>
    <x v="2"/>
    <x v="2"/>
    <s v="≥0,95"/>
    <s v="Аргос"/>
    <s v="I"/>
    <s v="Прозрачный поликарбонат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21"/>
    <n v="1.3511421000000001E-2"/>
    <x v="0"/>
    <x v="2"/>
    <s v="100 000 ч"/>
  </r>
  <r>
    <x v="63"/>
    <x v="23"/>
    <x v="23"/>
    <n v="154"/>
    <s v="SB-00018131"/>
    <s v="ШБ, 45x140"/>
    <x v="2"/>
    <x v="2"/>
    <x v="2"/>
    <s v="≥0,95"/>
    <s v="Аргос"/>
    <s v="I"/>
    <s v="Прозрачный поликарбонат"/>
    <s v="&lt;1%"/>
    <x v="2"/>
    <n v="70"/>
    <s v="CREE/Samsung 24x2шт"/>
    <s v="350мА"/>
    <x v="1"/>
    <s v="Литой экструдированный алюминиевый анодированный профиль"/>
    <s v="Поворотный кронштейн"/>
    <x v="22"/>
    <n v="2.5922862000000001E-2"/>
    <x v="0"/>
    <x v="2"/>
    <s v="100 000 ч"/>
  </r>
  <r>
    <x v="64"/>
    <x v="23"/>
    <x v="23"/>
    <n v="154"/>
    <s v="SB-00018132"/>
    <s v="К, 20"/>
    <x v="2"/>
    <x v="2"/>
    <x v="2"/>
    <s v="≥0,95"/>
    <s v="Аргос"/>
    <s v="I"/>
    <s v="Прозрачный поликарбонат"/>
    <s v="&lt;1%"/>
    <x v="2"/>
    <n v="70"/>
    <s v="CREE/Samsung 24x2шт"/>
    <s v="350мА"/>
    <x v="1"/>
    <s v="Литой экструдированный алюминиевый анодированный профиль"/>
    <s v="Поворотный кронштейн"/>
    <x v="22"/>
    <n v="2.5922862000000001E-2"/>
    <x v="0"/>
    <x v="2"/>
    <s v="100 000 ч"/>
  </r>
  <r>
    <x v="65"/>
    <x v="23"/>
    <x v="23"/>
    <n v="154"/>
    <s v="SB-00018133"/>
    <s v="К, 35"/>
    <x v="2"/>
    <x v="2"/>
    <x v="2"/>
    <s v="≥0,95"/>
    <s v="Аргос"/>
    <s v="I"/>
    <s v="Прозрачный поликарбонат"/>
    <s v="&lt;1%"/>
    <x v="2"/>
    <n v="70"/>
    <s v="CREE/Samsung 24x2шт"/>
    <s v="350мА"/>
    <x v="1"/>
    <s v="Литой экструдированный алюминиевый анодированный профиль"/>
    <s v="Поворотный кронштейн"/>
    <x v="22"/>
    <n v="2.5922862000000001E-2"/>
    <x v="0"/>
    <x v="2"/>
    <s v="100 000 ч"/>
  </r>
  <r>
    <x v="66"/>
    <x v="23"/>
    <x v="23"/>
    <n v="154"/>
    <s v="SB-00018134"/>
    <s v="Г, 65"/>
    <x v="2"/>
    <x v="2"/>
    <x v="2"/>
    <s v="≥0,95"/>
    <s v="Аргос"/>
    <s v="I"/>
    <s v="Прозрачный поликарбонат"/>
    <s v="&lt;1%"/>
    <x v="2"/>
    <n v="70"/>
    <s v="CREE/Samsung 24x2шт"/>
    <s v="350мА"/>
    <x v="1"/>
    <s v="Литой экструдированный алюминиевый анодированный профиль"/>
    <s v="Поворотный кронштейн"/>
    <x v="22"/>
    <n v="2.5922862000000001E-2"/>
    <x v="0"/>
    <x v="2"/>
    <s v="100 000 ч"/>
  </r>
  <r>
    <x v="67"/>
    <x v="23"/>
    <x v="23"/>
    <n v="154"/>
    <s v="SB-00018135"/>
    <s v="Д, 100"/>
    <x v="2"/>
    <x v="2"/>
    <x v="2"/>
    <s v="≥0,95"/>
    <s v="Аргос"/>
    <s v="I"/>
    <s v="Прозрачный поликарбонат"/>
    <s v="&lt;1%"/>
    <x v="2"/>
    <n v="70"/>
    <s v="CREE/Samsung 24x2шт"/>
    <s v="350мА"/>
    <x v="1"/>
    <s v="Литой экструдированный алюминиевый анодированный профиль"/>
    <s v="Поворотный кронштейн"/>
    <x v="22"/>
    <n v="2.5922862000000001E-2"/>
    <x v="0"/>
    <x v="2"/>
    <s v="100 000 ч"/>
  </r>
  <r>
    <x v="68"/>
    <x v="23"/>
    <x v="23"/>
    <n v="154"/>
    <s v="SB-00018136"/>
    <s v="Овал 30x120"/>
    <x v="2"/>
    <x v="2"/>
    <x v="2"/>
    <s v="≥0,95"/>
    <s v="Аргос"/>
    <s v="I"/>
    <s v="Прозрачный поликарбонат"/>
    <s v="&lt;1%"/>
    <x v="2"/>
    <n v="70"/>
    <s v="CREE/Samsung 24x2шт"/>
    <s v="350мА"/>
    <x v="1"/>
    <s v="Литой экструдированный алюминиевый анодированный профиль"/>
    <s v="Поворотный кронштейн"/>
    <x v="22"/>
    <n v="2.5922862000000001E-2"/>
    <x v="0"/>
    <x v="2"/>
    <s v="100 000 ч"/>
  </r>
  <r>
    <x v="69"/>
    <x v="23"/>
    <x v="23"/>
    <n v="154"/>
    <s v="SB-00018137"/>
    <s v="Ш, 150"/>
    <x v="2"/>
    <x v="2"/>
    <x v="2"/>
    <s v="≥0,95"/>
    <s v="Аргос"/>
    <s v="I"/>
    <s v="Прозрачный поликарбонат"/>
    <s v="&lt;1%"/>
    <x v="2"/>
    <n v="70"/>
    <s v="CREE/Samsung 24x2шт"/>
    <s v="350мА"/>
    <x v="1"/>
    <s v="Литой экструдированный алюминиевый анодированный профиль"/>
    <s v="Поворотный кронштейн"/>
    <x v="22"/>
    <n v="2.5922862000000001E-2"/>
    <x v="0"/>
    <x v="2"/>
    <s v="100 000 ч"/>
  </r>
  <r>
    <x v="70"/>
    <x v="24"/>
    <x v="24"/>
    <n v="153"/>
    <s v="SB-00018138"/>
    <s v="ШБ, 45x140"/>
    <x v="2"/>
    <x v="2"/>
    <x v="2"/>
    <s v="≥0,95"/>
    <s v="Аргос"/>
    <s v="I"/>
    <s v="Прозрачный поликарбонат"/>
    <s v="&lt;1%"/>
    <x v="2"/>
    <n v="70"/>
    <s v="CREE/Samsung 36x2шт"/>
    <s v="350мА"/>
    <x v="1"/>
    <s v="Литой экструдированный алюминиевый анодированный профиль"/>
    <s v="Поворотный кронштейн"/>
    <x v="23"/>
    <n v="3.8755962000000005E-2"/>
    <x v="0"/>
    <x v="2"/>
    <s v="100 000 ч"/>
  </r>
  <r>
    <x v="71"/>
    <x v="24"/>
    <x v="24"/>
    <n v="153"/>
    <s v="SB-00018139"/>
    <s v="К, 20"/>
    <x v="2"/>
    <x v="2"/>
    <x v="2"/>
    <s v="≥0,95"/>
    <s v="Аргос"/>
    <s v="I"/>
    <s v="Прозрачный поликарбонат"/>
    <s v="&lt;1%"/>
    <x v="2"/>
    <n v="70"/>
    <s v="CREE/Samsung 36x2шт"/>
    <s v="350мА"/>
    <x v="1"/>
    <s v="Литой экструдированный алюминиевый анодированный профиль"/>
    <s v="Поворотный кронштейн"/>
    <x v="23"/>
    <n v="3.8755962000000005E-2"/>
    <x v="0"/>
    <x v="2"/>
    <s v="100 000 ч"/>
  </r>
  <r>
    <x v="72"/>
    <x v="24"/>
    <x v="24"/>
    <n v="153"/>
    <s v="SB-00018140"/>
    <s v="К, 35"/>
    <x v="2"/>
    <x v="2"/>
    <x v="2"/>
    <s v="≥0,95"/>
    <s v="Аргос"/>
    <s v="I"/>
    <s v="Прозрачный поликарбонат"/>
    <s v="&lt;1%"/>
    <x v="2"/>
    <n v="70"/>
    <s v="CREE/Samsung 36x2шт"/>
    <s v="350мА"/>
    <x v="1"/>
    <s v="Литой экструдированный алюминиевый анодированный профиль"/>
    <s v="Поворотный кронштейн"/>
    <x v="23"/>
    <n v="3.8755962000000005E-2"/>
    <x v="0"/>
    <x v="2"/>
    <s v="100 000 ч"/>
  </r>
  <r>
    <x v="73"/>
    <x v="24"/>
    <x v="24"/>
    <n v="153"/>
    <s v="SB-00018141"/>
    <s v="Г, 65"/>
    <x v="2"/>
    <x v="2"/>
    <x v="2"/>
    <s v="≥0,95"/>
    <s v="Аргос"/>
    <s v="I"/>
    <s v="Прозрачный поликарбонат"/>
    <s v="&lt;1%"/>
    <x v="2"/>
    <n v="70"/>
    <s v="CREE/Samsung 36x2шт"/>
    <s v="350мА"/>
    <x v="1"/>
    <s v="Литой экструдированный алюминиевый анодированный профиль"/>
    <s v="Поворотный кронштейн"/>
    <x v="23"/>
    <n v="3.8755962000000005E-2"/>
    <x v="0"/>
    <x v="2"/>
    <s v="100 000 ч"/>
  </r>
  <r>
    <x v="74"/>
    <x v="24"/>
    <x v="24"/>
    <n v="153"/>
    <s v="SB-00018142"/>
    <s v="Д, 100"/>
    <x v="2"/>
    <x v="2"/>
    <x v="2"/>
    <s v="≥0,95"/>
    <s v="Аргос"/>
    <s v="I"/>
    <s v="Прозрачный поликарбонат"/>
    <s v="&lt;1%"/>
    <x v="2"/>
    <n v="70"/>
    <s v="CREE/Samsung 36x2шт"/>
    <s v="350мА"/>
    <x v="1"/>
    <s v="Литой экструдированный алюминиевый анодированный профиль"/>
    <s v="Поворотный кронштейн"/>
    <x v="23"/>
    <n v="3.8755962000000005E-2"/>
    <x v="0"/>
    <x v="2"/>
    <s v="100 000 ч"/>
  </r>
  <r>
    <x v="75"/>
    <x v="24"/>
    <x v="24"/>
    <n v="153"/>
    <s v="SB-00018143"/>
    <s v="Овал 30x120"/>
    <x v="2"/>
    <x v="2"/>
    <x v="2"/>
    <s v="≥0,95"/>
    <s v="Аргос"/>
    <s v="I"/>
    <s v="Прозрачный поликарбонат"/>
    <s v="&lt;1%"/>
    <x v="2"/>
    <n v="70"/>
    <s v="CREE/Samsung 36x2шт"/>
    <s v="350мА"/>
    <x v="1"/>
    <s v="Литой экструдированный алюминиевый анодированный профиль"/>
    <s v="Поворотный кронштейн"/>
    <x v="23"/>
    <n v="3.8755962000000005E-2"/>
    <x v="0"/>
    <x v="2"/>
    <s v="100 000 ч"/>
  </r>
  <r>
    <x v="76"/>
    <x v="24"/>
    <x v="24"/>
    <n v="153"/>
    <s v="SB-00018144"/>
    <s v="Ш, 150"/>
    <x v="2"/>
    <x v="2"/>
    <x v="2"/>
    <s v="≥0,95"/>
    <s v="Аргос"/>
    <s v="I"/>
    <s v="Прозрачный поликарбонат"/>
    <s v="&lt;1%"/>
    <x v="2"/>
    <n v="70"/>
    <s v="CREE/Samsung 36x2шт"/>
    <s v="350мА"/>
    <x v="1"/>
    <s v="Литой экструдированный алюминиевый анодированный профиль"/>
    <s v="Поворотный кронштейн"/>
    <x v="23"/>
    <n v="3.8755962000000005E-2"/>
    <x v="0"/>
    <x v="2"/>
    <s v="100 000 ч"/>
  </r>
  <r>
    <x v="77"/>
    <x v="25"/>
    <x v="25"/>
    <n v="162"/>
    <s v="SB-00018145"/>
    <s v="ШБ, 45x140"/>
    <x v="2"/>
    <x v="2"/>
    <x v="2"/>
    <s v="≥0,95"/>
    <s v="Аргос"/>
    <s v="I"/>
    <s v="Прозрачный поликарбонат"/>
    <s v="&lt;1%"/>
    <x v="2"/>
    <n v="70"/>
    <s v="CREE/Samsung 48x2шт"/>
    <s v="350мА"/>
    <x v="1"/>
    <s v="Литой экструдированный алюминиевый анодированный профиль"/>
    <s v="Поворотный кронштейн"/>
    <x v="24"/>
    <n v="5.1589062000000005E-2"/>
    <x v="0"/>
    <x v="2"/>
    <s v="100 000 ч"/>
  </r>
  <r>
    <x v="78"/>
    <x v="25"/>
    <x v="25"/>
    <n v="162"/>
    <s v="SB-00018146"/>
    <s v="К, 20"/>
    <x v="2"/>
    <x v="2"/>
    <x v="2"/>
    <s v="≥0,95"/>
    <s v="Аргос"/>
    <s v="I"/>
    <s v="Прозрачный поликарбонат"/>
    <s v="&lt;1%"/>
    <x v="2"/>
    <n v="70"/>
    <s v="CREE/Samsung 48x2шт"/>
    <s v="350мА"/>
    <x v="1"/>
    <s v="Литой экструдированный алюминиевый анодированный профиль"/>
    <s v="Поворотный кронштейн"/>
    <x v="24"/>
    <n v="5.1589062000000005E-2"/>
    <x v="0"/>
    <x v="2"/>
    <s v="100 000 ч"/>
  </r>
  <r>
    <x v="79"/>
    <x v="25"/>
    <x v="25"/>
    <n v="162"/>
    <s v="SB-00018147"/>
    <s v="К, 35"/>
    <x v="2"/>
    <x v="2"/>
    <x v="2"/>
    <s v="≥0,95"/>
    <s v="Аргос"/>
    <s v="I"/>
    <s v="Прозрачный поликарбонат"/>
    <s v="&lt;1%"/>
    <x v="2"/>
    <n v="70"/>
    <s v="CREE/Samsung 48x2шт"/>
    <s v="350мА"/>
    <x v="1"/>
    <s v="Литой экструдированный алюминиевый анодированный профиль"/>
    <s v="Поворотный кронштейн"/>
    <x v="24"/>
    <n v="5.1589062000000005E-2"/>
    <x v="0"/>
    <x v="2"/>
    <s v="100 000 ч"/>
  </r>
  <r>
    <x v="80"/>
    <x v="25"/>
    <x v="25"/>
    <n v="162"/>
    <s v="SB-00018148"/>
    <s v="Г, 65"/>
    <x v="2"/>
    <x v="2"/>
    <x v="2"/>
    <s v="≥0,95"/>
    <s v="Аргос"/>
    <s v="I"/>
    <s v="Прозрачный поликарбонат"/>
    <s v="&lt;1%"/>
    <x v="2"/>
    <n v="70"/>
    <s v="CREE/Samsung 48x2шт"/>
    <s v="350мА"/>
    <x v="1"/>
    <s v="Литой экструдированный алюминиевый анодированный профиль"/>
    <s v="Поворотный кронштейн"/>
    <x v="24"/>
    <n v="5.1589062000000005E-2"/>
    <x v="0"/>
    <x v="2"/>
    <s v="100 000 ч"/>
  </r>
  <r>
    <x v="81"/>
    <x v="25"/>
    <x v="25"/>
    <n v="162"/>
    <s v="SB-00018149"/>
    <s v="Д, 100"/>
    <x v="2"/>
    <x v="2"/>
    <x v="2"/>
    <s v="≥0,95"/>
    <s v="Аргос"/>
    <s v="I"/>
    <s v="Прозрачный поликарбонат"/>
    <s v="&lt;1%"/>
    <x v="2"/>
    <n v="70"/>
    <s v="CREE/Samsung 48x2шт"/>
    <s v="350мА"/>
    <x v="1"/>
    <s v="Литой экструдированный алюминиевый анодированный профиль"/>
    <s v="Поворотный кронштейн"/>
    <x v="24"/>
    <n v="5.1589062000000005E-2"/>
    <x v="0"/>
    <x v="2"/>
    <s v="100 000 ч"/>
  </r>
  <r>
    <x v="82"/>
    <x v="25"/>
    <x v="25"/>
    <n v="162"/>
    <s v="SB-00018150"/>
    <s v="Овал 30x120"/>
    <x v="2"/>
    <x v="2"/>
    <x v="2"/>
    <s v="≥0,95"/>
    <s v="Аргос"/>
    <s v="I"/>
    <s v="Прозрачный поликарбонат"/>
    <s v="&lt;1%"/>
    <x v="2"/>
    <n v="70"/>
    <s v="CREE/Samsung 48x2шт"/>
    <s v="350мА"/>
    <x v="1"/>
    <s v="Литой экструдированный алюминиевый анодированный профиль"/>
    <s v="Поворотный кронштейн"/>
    <x v="24"/>
    <n v="5.1589062000000005E-2"/>
    <x v="0"/>
    <x v="2"/>
    <s v="100 000 ч"/>
  </r>
  <r>
    <x v="83"/>
    <x v="25"/>
    <x v="25"/>
    <n v="162"/>
    <s v="SB-00018151"/>
    <s v="Ш, 150"/>
    <x v="2"/>
    <x v="2"/>
    <x v="2"/>
    <s v="≥0,95"/>
    <s v="Аргос"/>
    <s v="I"/>
    <s v="Прозрачный поликарбонат"/>
    <s v="&lt;1%"/>
    <x v="2"/>
    <n v="70"/>
    <s v="CREE/Samsung 48x2шт"/>
    <s v="350мА"/>
    <x v="1"/>
    <s v="Литой экструдированный алюминиевый анодированный профиль"/>
    <s v="Поворотный кронштейн"/>
    <x v="24"/>
    <n v="5.1589062000000005E-2"/>
    <x v="0"/>
    <x v="2"/>
    <s v="100 000 ч"/>
  </r>
  <r>
    <x v="84"/>
    <x v="26"/>
    <x v="26"/>
    <n v="154"/>
    <s v="SB-00018152"/>
    <s v="ШБ, 45x140"/>
    <x v="2"/>
    <x v="2"/>
    <x v="2"/>
    <s v="≥0,95"/>
    <s v="Аргос"/>
    <s v="I"/>
    <s v="Прозрачный поликарбонат"/>
    <s v="&lt;1%"/>
    <x v="2"/>
    <n v="70"/>
    <s v="CREE/Samsung 24x3шт"/>
    <s v="350мА"/>
    <x v="1"/>
    <s v="Литой экструдированный алюминиевый анодированный профиль"/>
    <s v="Поворотный кронштейн"/>
    <x v="25"/>
    <n v="3.9501504E-2"/>
    <x v="0"/>
    <x v="2"/>
    <s v="100 000 ч"/>
  </r>
  <r>
    <x v="85"/>
    <x v="26"/>
    <x v="26"/>
    <n v="154"/>
    <s v="SB-00018153"/>
    <s v="К, 20"/>
    <x v="2"/>
    <x v="2"/>
    <x v="2"/>
    <s v="≥0,95"/>
    <s v="Аргос"/>
    <s v="I"/>
    <s v="Прозрачный поликарбонат"/>
    <s v="&lt;1%"/>
    <x v="2"/>
    <n v="70"/>
    <s v="CREE/Samsung 24x3шт"/>
    <s v="350мА"/>
    <x v="1"/>
    <s v="Литой экструдированный алюминиевый анодированный профиль"/>
    <s v="Поворотный кронштейн"/>
    <x v="25"/>
    <n v="3.9501504E-2"/>
    <x v="0"/>
    <x v="2"/>
    <s v="100 000 ч"/>
  </r>
  <r>
    <x v="86"/>
    <x v="26"/>
    <x v="26"/>
    <n v="154"/>
    <s v="SB-00018154"/>
    <s v="К, 35"/>
    <x v="2"/>
    <x v="2"/>
    <x v="2"/>
    <s v="≥0,95"/>
    <s v="Аргос"/>
    <s v="I"/>
    <s v="Прозрачный поликарбонат"/>
    <s v="&lt;1%"/>
    <x v="2"/>
    <n v="70"/>
    <s v="CREE/Samsung 24x3шт"/>
    <s v="350мА"/>
    <x v="1"/>
    <s v="Литой экструдированный алюминиевый анодированный профиль"/>
    <s v="Поворотный кронштейн"/>
    <x v="25"/>
    <n v="3.9501504E-2"/>
    <x v="0"/>
    <x v="2"/>
    <s v="100 000 ч"/>
  </r>
  <r>
    <x v="87"/>
    <x v="26"/>
    <x v="26"/>
    <n v="154"/>
    <s v="SB-00018155"/>
    <s v="Г, 65"/>
    <x v="2"/>
    <x v="2"/>
    <x v="2"/>
    <s v="≥0,95"/>
    <s v="Аргос"/>
    <s v="I"/>
    <s v="Прозрачный поликарбонат"/>
    <s v="&lt;1%"/>
    <x v="2"/>
    <n v="70"/>
    <s v="CREE/Samsung 24x3шт"/>
    <s v="350мА"/>
    <x v="1"/>
    <s v="Литой экструдированный алюминиевый анодированный профиль"/>
    <s v="Поворотный кронштейн"/>
    <x v="25"/>
    <n v="3.9501504E-2"/>
    <x v="0"/>
    <x v="2"/>
    <s v="100 000 ч"/>
  </r>
  <r>
    <x v="88"/>
    <x v="26"/>
    <x v="26"/>
    <n v="154"/>
    <s v="SB-00018156"/>
    <s v="Д, 100"/>
    <x v="2"/>
    <x v="2"/>
    <x v="2"/>
    <s v="≥0,95"/>
    <s v="Аргос"/>
    <s v="I"/>
    <s v="Прозрачный поликарбонат"/>
    <s v="&lt;1%"/>
    <x v="2"/>
    <n v="70"/>
    <s v="CREE/Samsung 24x3шт"/>
    <s v="350мА"/>
    <x v="1"/>
    <s v="Литой экструдированный алюминиевый анодированный профиль"/>
    <s v="Поворотный кронштейн"/>
    <x v="25"/>
    <n v="3.9501504E-2"/>
    <x v="0"/>
    <x v="2"/>
    <s v="100 000 ч"/>
  </r>
  <r>
    <x v="89"/>
    <x v="26"/>
    <x v="26"/>
    <n v="154"/>
    <s v="SB-00018157"/>
    <s v="Овал 30x120"/>
    <x v="2"/>
    <x v="2"/>
    <x v="2"/>
    <s v="≥0,95"/>
    <s v="Аргос"/>
    <s v="I"/>
    <s v="Прозрачный поликарбонат"/>
    <s v="&lt;1%"/>
    <x v="2"/>
    <n v="70"/>
    <s v="CREE/Samsung 24x3шт"/>
    <s v="350мА"/>
    <x v="1"/>
    <s v="Литой экструдированный алюминиевый анодированный профиль"/>
    <s v="Поворотный кронштейн"/>
    <x v="25"/>
    <n v="3.9501504E-2"/>
    <x v="0"/>
    <x v="2"/>
    <s v="100 000 ч"/>
  </r>
  <r>
    <x v="90"/>
    <x v="26"/>
    <x v="26"/>
    <n v="154"/>
    <s v="SB-00018158"/>
    <s v="Ш, 150"/>
    <x v="2"/>
    <x v="2"/>
    <x v="2"/>
    <s v="≥0,95"/>
    <s v="Аргос"/>
    <s v="I"/>
    <s v="Прозрачный поликарбонат"/>
    <s v="&lt;1%"/>
    <x v="2"/>
    <n v="70"/>
    <s v="CREE/Samsung 24x3шт"/>
    <s v="350мА"/>
    <x v="1"/>
    <s v="Литой экструдированный алюминиевый анодированный профиль"/>
    <s v="Поворотный кронштейн"/>
    <x v="25"/>
    <n v="3.9501504E-2"/>
    <x v="0"/>
    <x v="2"/>
    <s v="100 000 ч"/>
  </r>
  <r>
    <x v="91"/>
    <x v="27"/>
    <x v="27"/>
    <n v="153"/>
    <s v="SB-00018159"/>
    <s v="ШБ, 45x140"/>
    <x v="2"/>
    <x v="2"/>
    <x v="2"/>
    <s v="≥0,95"/>
    <s v="Аргос"/>
    <s v="I"/>
    <s v="Прозрачный поликарбонат"/>
    <s v="&lt;1%"/>
    <x v="2"/>
    <n v="70"/>
    <s v="CREE/Samsung 36x3шт"/>
    <s v="350мА"/>
    <x v="1"/>
    <s v="Литой экструдированный алюминиевый анодированный профиль"/>
    <s v="Поворотный кронштейн"/>
    <x v="26"/>
    <n v="5.9056704000000002E-2"/>
    <x v="0"/>
    <x v="2"/>
    <s v="100 000 ч"/>
  </r>
  <r>
    <x v="92"/>
    <x v="27"/>
    <x v="27"/>
    <n v="153"/>
    <s v="SB-00018160"/>
    <s v="К, 20"/>
    <x v="2"/>
    <x v="2"/>
    <x v="2"/>
    <s v="≥0,95"/>
    <s v="Аргос"/>
    <s v="I"/>
    <s v="Прозрачный поликарбонат"/>
    <s v="&lt;1%"/>
    <x v="2"/>
    <n v="70"/>
    <s v="CREE/Samsung 36x3шт"/>
    <s v="350мА"/>
    <x v="1"/>
    <s v="Литой экструдированный алюминиевый анодированный профиль"/>
    <s v="Поворотный кронштейн"/>
    <x v="26"/>
    <n v="5.9056704000000002E-2"/>
    <x v="0"/>
    <x v="2"/>
    <s v="100 000 ч"/>
  </r>
  <r>
    <x v="93"/>
    <x v="27"/>
    <x v="27"/>
    <n v="153"/>
    <s v="SB-00018161"/>
    <s v="К, 35"/>
    <x v="2"/>
    <x v="2"/>
    <x v="2"/>
    <s v="≥0,95"/>
    <s v="Аргос"/>
    <s v="I"/>
    <s v="Прозрачный поликарбонат"/>
    <s v="&lt;1%"/>
    <x v="2"/>
    <n v="70"/>
    <s v="CREE/Samsung 36x3шт"/>
    <s v="350мА"/>
    <x v="1"/>
    <s v="Литой экструдированный алюминиевый анодированный профиль"/>
    <s v="Поворотный кронштейн"/>
    <x v="26"/>
    <n v="5.9056704000000002E-2"/>
    <x v="0"/>
    <x v="2"/>
    <s v="100 000 ч"/>
  </r>
  <r>
    <x v="94"/>
    <x v="27"/>
    <x v="27"/>
    <n v="153"/>
    <s v="SB-00018162"/>
    <s v="Г, 65"/>
    <x v="2"/>
    <x v="2"/>
    <x v="2"/>
    <s v="≥0,95"/>
    <s v="Аргос"/>
    <s v="I"/>
    <s v="Прозрачный поликарбонат"/>
    <s v="&lt;1%"/>
    <x v="2"/>
    <n v="70"/>
    <s v="CREE/Samsung 36x3шт"/>
    <s v="350мА"/>
    <x v="1"/>
    <s v="Литой экструдированный алюминиевый анодированный профиль"/>
    <s v="Поворотный кронштейн"/>
    <x v="26"/>
    <n v="5.9056704000000002E-2"/>
    <x v="0"/>
    <x v="2"/>
    <s v="100 000 ч"/>
  </r>
  <r>
    <x v="95"/>
    <x v="27"/>
    <x v="27"/>
    <n v="153"/>
    <s v="SB-00018163"/>
    <s v="Д, 100"/>
    <x v="2"/>
    <x v="2"/>
    <x v="2"/>
    <s v="≥0,95"/>
    <s v="Аргос"/>
    <s v="I"/>
    <s v="Прозрачный поликарбонат"/>
    <s v="&lt;1%"/>
    <x v="2"/>
    <n v="70"/>
    <s v="CREE/Samsung 36x3шт"/>
    <s v="350мА"/>
    <x v="1"/>
    <s v="Литой экструдированный алюминиевый анодированный профиль"/>
    <s v="Поворотный кронштейн"/>
    <x v="26"/>
    <n v="5.9056704000000002E-2"/>
    <x v="0"/>
    <x v="2"/>
    <s v="100 000 ч"/>
  </r>
  <r>
    <x v="96"/>
    <x v="27"/>
    <x v="27"/>
    <n v="153"/>
    <s v="SB-00018164"/>
    <s v="Овал 30x120"/>
    <x v="2"/>
    <x v="2"/>
    <x v="2"/>
    <s v="≥0,95"/>
    <s v="Аргос"/>
    <s v="I"/>
    <s v="Прозрачный поликарбонат"/>
    <s v="&lt;1%"/>
    <x v="2"/>
    <n v="70"/>
    <s v="CREE/Samsung 36x3шт"/>
    <s v="350мА"/>
    <x v="1"/>
    <s v="Литой экструдированный алюминиевый анодированный профиль"/>
    <s v="Поворотный кронштейн"/>
    <x v="26"/>
    <n v="5.9056704000000002E-2"/>
    <x v="0"/>
    <x v="2"/>
    <s v="100 000 ч"/>
  </r>
  <r>
    <x v="97"/>
    <x v="27"/>
    <x v="27"/>
    <n v="153"/>
    <s v="SB-00018165"/>
    <s v="Ш, 150"/>
    <x v="2"/>
    <x v="2"/>
    <x v="2"/>
    <s v="≥0,95"/>
    <s v="Аргос"/>
    <s v="I"/>
    <s v="Прозрачный поликарбонат"/>
    <s v="&lt;1%"/>
    <x v="2"/>
    <n v="70"/>
    <s v="CREE/Samsung 36x3шт"/>
    <s v="350мА"/>
    <x v="1"/>
    <s v="Литой экструдированный алюминиевый анодированный профиль"/>
    <s v="Поворотный кронштейн"/>
    <x v="26"/>
    <n v="5.9056704000000002E-2"/>
    <x v="0"/>
    <x v="2"/>
    <s v="100 000 ч"/>
  </r>
  <r>
    <x v="98"/>
    <x v="28"/>
    <x v="28"/>
    <n v="162"/>
    <s v="SB-00018166"/>
    <s v="ШБ, 45x140"/>
    <x v="2"/>
    <x v="2"/>
    <x v="2"/>
    <s v="≥0,95"/>
    <s v="Аргос"/>
    <s v="I"/>
    <s v="Прозрачный поликарбонат"/>
    <s v="&lt;1%"/>
    <x v="2"/>
    <n v="70"/>
    <s v="CREE/Samsung 48x3шт"/>
    <s v="350мА"/>
    <x v="1"/>
    <s v="Литой экструдированный алюминиевый анодированный профиль"/>
    <s v="Поворотный кронштейн"/>
    <x v="27"/>
    <n v="7.861190400000001E-2"/>
    <x v="0"/>
    <x v="2"/>
    <s v="100 000 ч"/>
  </r>
  <r>
    <x v="99"/>
    <x v="28"/>
    <x v="28"/>
    <n v="162"/>
    <s v="SB-00018167"/>
    <s v="К, 20"/>
    <x v="2"/>
    <x v="2"/>
    <x v="2"/>
    <s v="≥0,95"/>
    <s v="Аргос"/>
    <s v="I"/>
    <s v="Прозрачный поликарбонат"/>
    <s v="&lt;1%"/>
    <x v="2"/>
    <n v="70"/>
    <s v="CREE/Samsung 48x3шт"/>
    <s v="350мА"/>
    <x v="1"/>
    <s v="Литой экструдированный алюминиевый анодированный профиль"/>
    <s v="Поворотный кронштейн"/>
    <x v="27"/>
    <n v="7.861190400000001E-2"/>
    <x v="0"/>
    <x v="2"/>
    <s v="100 000 ч"/>
  </r>
  <r>
    <x v="100"/>
    <x v="28"/>
    <x v="28"/>
    <n v="162"/>
    <s v="SB-00018168"/>
    <s v="К, 35"/>
    <x v="2"/>
    <x v="2"/>
    <x v="2"/>
    <s v="≥0,95"/>
    <s v="Аргос"/>
    <s v="I"/>
    <s v="Прозрачный поликарбонат"/>
    <s v="&lt;1%"/>
    <x v="2"/>
    <n v="70"/>
    <s v="CREE/Samsung 48x3шт"/>
    <s v="350мА"/>
    <x v="1"/>
    <s v="Литой экструдированный алюминиевый анодированный профиль"/>
    <s v="Поворотный кронштейн"/>
    <x v="27"/>
    <n v="7.861190400000001E-2"/>
    <x v="0"/>
    <x v="2"/>
    <s v="100 000 ч"/>
  </r>
  <r>
    <x v="101"/>
    <x v="28"/>
    <x v="28"/>
    <n v="162"/>
    <s v="SB-00018169"/>
    <s v="Г, 65"/>
    <x v="2"/>
    <x v="2"/>
    <x v="2"/>
    <s v="≥0,95"/>
    <s v="Аргос"/>
    <s v="I"/>
    <s v="Прозрачный поликарбонат"/>
    <s v="&lt;1%"/>
    <x v="2"/>
    <n v="70"/>
    <s v="CREE/Samsung 48x3шт"/>
    <s v="350мА"/>
    <x v="1"/>
    <s v="Литой экструдированный алюминиевый анодированный профиль"/>
    <s v="Поворотный кронштейн"/>
    <x v="27"/>
    <n v="7.861190400000001E-2"/>
    <x v="0"/>
    <x v="2"/>
    <s v="100 000 ч"/>
  </r>
  <r>
    <x v="102"/>
    <x v="28"/>
    <x v="28"/>
    <n v="162"/>
    <s v="SB-00018170"/>
    <s v="Д, 100"/>
    <x v="2"/>
    <x v="2"/>
    <x v="2"/>
    <s v="≥0,95"/>
    <s v="Аргос"/>
    <s v="I"/>
    <s v="Прозрачный поликарбонат"/>
    <s v="&lt;1%"/>
    <x v="2"/>
    <n v="70"/>
    <s v="CREE/Samsung 48x3шт"/>
    <s v="350мА"/>
    <x v="1"/>
    <s v="Литой экструдированный алюминиевый анодированный профиль"/>
    <s v="Поворотный кронштейн"/>
    <x v="27"/>
    <n v="7.861190400000001E-2"/>
    <x v="0"/>
    <x v="2"/>
    <s v="100 000 ч"/>
  </r>
  <r>
    <x v="103"/>
    <x v="28"/>
    <x v="28"/>
    <n v="162"/>
    <s v="SB-00018171"/>
    <s v="Овал 30x120"/>
    <x v="2"/>
    <x v="2"/>
    <x v="2"/>
    <s v="≥0,95"/>
    <s v="Аргос"/>
    <s v="I"/>
    <s v="Прозрачный поликарбонат"/>
    <s v="&lt;1%"/>
    <x v="2"/>
    <n v="70"/>
    <s v="CREE/Samsung 48x3шт"/>
    <s v="350мА"/>
    <x v="1"/>
    <s v="Литой экструдированный алюминиевый анодированный профиль"/>
    <s v="Поворотный кронштейн"/>
    <x v="27"/>
    <n v="7.861190400000001E-2"/>
    <x v="0"/>
    <x v="2"/>
    <s v="100 000 ч"/>
  </r>
  <r>
    <x v="104"/>
    <x v="28"/>
    <x v="28"/>
    <n v="162"/>
    <s v="SB-00018172"/>
    <s v="Ш, 150"/>
    <x v="2"/>
    <x v="2"/>
    <x v="2"/>
    <s v="≥0,95"/>
    <s v="Аргос"/>
    <s v="I"/>
    <s v="Прозрачный поликарбонат"/>
    <s v="&lt;1%"/>
    <x v="2"/>
    <n v="70"/>
    <s v="CREE/Samsung 48x3шт"/>
    <s v="350мА"/>
    <x v="1"/>
    <s v="Литой экструдированный алюминиевый анодированный профиль"/>
    <s v="Поворотный кронштейн"/>
    <x v="27"/>
    <n v="7.861190400000001E-2"/>
    <x v="0"/>
    <x v="2"/>
    <s v="100 000 ч"/>
  </r>
  <r>
    <x v="105"/>
    <x v="29"/>
    <x v="29"/>
    <n v="154"/>
    <s v="SB-00018173"/>
    <s v="ШБ, 45x140"/>
    <x v="2"/>
    <x v="2"/>
    <x v="2"/>
    <s v="≥0,95"/>
    <s v="Аргос"/>
    <s v="I"/>
    <s v="Прозрачный поликарбонат"/>
    <s v="&lt;1%"/>
    <x v="2"/>
    <n v="70"/>
    <s v="CREE/Samsung 24x4шт"/>
    <s v="350мА"/>
    <x v="1"/>
    <s v="Литой экструдированный алюминиевый анодированный профиль"/>
    <s v="Поворотный кронштейн"/>
    <x v="28"/>
    <n v="5.2709819400000003E-2"/>
    <x v="0"/>
    <x v="2"/>
    <s v="100 000 ч"/>
  </r>
  <r>
    <x v="106"/>
    <x v="29"/>
    <x v="29"/>
    <n v="154"/>
    <s v="SB-00018174"/>
    <s v="К, 20"/>
    <x v="2"/>
    <x v="2"/>
    <x v="2"/>
    <s v="≥0,95"/>
    <s v="Аргос"/>
    <s v="I"/>
    <s v="Прозрачный поликарбонат"/>
    <s v="&lt;1%"/>
    <x v="2"/>
    <n v="70"/>
    <s v="CREE/Samsung 24x4шт"/>
    <s v="350мА"/>
    <x v="1"/>
    <s v="Литой экструдированный алюминиевый анодированный профиль"/>
    <s v="Поворотный кронштейн"/>
    <x v="28"/>
    <n v="5.2709819400000003E-2"/>
    <x v="0"/>
    <x v="2"/>
    <s v="100 000 ч"/>
  </r>
  <r>
    <x v="107"/>
    <x v="29"/>
    <x v="29"/>
    <n v="154"/>
    <s v="SB-00018175"/>
    <s v="К, 35"/>
    <x v="2"/>
    <x v="2"/>
    <x v="2"/>
    <s v="≥0,95"/>
    <s v="Аргос"/>
    <s v="I"/>
    <s v="Прозрачный поликарбонат"/>
    <s v="&lt;1%"/>
    <x v="2"/>
    <n v="70"/>
    <s v="CREE/Samsung 24x4шт"/>
    <s v="350мА"/>
    <x v="1"/>
    <s v="Литой экструдированный алюминиевый анодированный профиль"/>
    <s v="Поворотный кронштейн"/>
    <x v="28"/>
    <n v="5.2709819400000003E-2"/>
    <x v="0"/>
    <x v="2"/>
    <s v="100 000 ч"/>
  </r>
  <r>
    <x v="108"/>
    <x v="29"/>
    <x v="29"/>
    <n v="154"/>
    <s v="SB-00018176"/>
    <s v="Г, 65"/>
    <x v="2"/>
    <x v="2"/>
    <x v="2"/>
    <s v="≥0,95"/>
    <s v="Аргос"/>
    <s v="I"/>
    <s v="Прозрачный поликарбонат"/>
    <s v="&lt;1%"/>
    <x v="2"/>
    <n v="70"/>
    <s v="CREE/Samsung 24x4шт"/>
    <s v="350мА"/>
    <x v="1"/>
    <s v="Литой экструдированный алюминиевый анодированный профиль"/>
    <s v="Поворотный кронштейн"/>
    <x v="28"/>
    <n v="5.2709819400000003E-2"/>
    <x v="0"/>
    <x v="2"/>
    <s v="100 000 ч"/>
  </r>
  <r>
    <x v="109"/>
    <x v="29"/>
    <x v="29"/>
    <n v="154"/>
    <s v="SB-00018177"/>
    <s v="Д, 100"/>
    <x v="2"/>
    <x v="2"/>
    <x v="2"/>
    <s v="≥0,95"/>
    <s v="Аргос"/>
    <s v="I"/>
    <s v="Прозрачный поликарбонат"/>
    <s v="&lt;1%"/>
    <x v="2"/>
    <n v="70"/>
    <s v="CREE/Samsung 24x4шт"/>
    <s v="350мА"/>
    <x v="1"/>
    <s v="Литой экструдированный алюминиевый анодированный профиль"/>
    <s v="Поворотный кронштейн"/>
    <x v="28"/>
    <n v="5.2709819400000003E-2"/>
    <x v="0"/>
    <x v="2"/>
    <s v="100 000 ч"/>
  </r>
  <r>
    <x v="110"/>
    <x v="29"/>
    <x v="29"/>
    <n v="154"/>
    <s v="SB-00018178"/>
    <s v="Овал 30x120"/>
    <x v="2"/>
    <x v="2"/>
    <x v="2"/>
    <s v="≥0,95"/>
    <s v="Аргос"/>
    <s v="I"/>
    <s v="Прозрачный поликарбонат"/>
    <s v="&lt;1%"/>
    <x v="2"/>
    <n v="70"/>
    <s v="CREE/Samsung 24x4шт"/>
    <s v="350мА"/>
    <x v="1"/>
    <s v="Литой экструдированный алюминиевый анодированный профиль"/>
    <s v="Поворотный кронштейн"/>
    <x v="28"/>
    <n v="5.2709819400000003E-2"/>
    <x v="0"/>
    <x v="2"/>
    <s v="100 000 ч"/>
  </r>
  <r>
    <x v="111"/>
    <x v="29"/>
    <x v="29"/>
    <n v="154"/>
    <s v="SB-00018179"/>
    <s v="Ш, 150"/>
    <x v="2"/>
    <x v="2"/>
    <x v="2"/>
    <s v="≥0,95"/>
    <s v="Аргос"/>
    <s v="I"/>
    <s v="Прозрачный поликарбонат"/>
    <s v="&lt;1%"/>
    <x v="2"/>
    <n v="70"/>
    <s v="CREE/Samsung 24x4шт"/>
    <s v="350мА"/>
    <x v="1"/>
    <s v="Литой экструдированный алюминиевый анодированный профиль"/>
    <s v="Поворотный кронштейн"/>
    <x v="28"/>
    <n v="5.2709819400000003E-2"/>
    <x v="0"/>
    <x v="2"/>
    <s v="100 000 ч"/>
  </r>
  <r>
    <x v="112"/>
    <x v="30"/>
    <x v="30"/>
    <n v="153"/>
    <s v="SB-00018180"/>
    <s v="ШБ, 45x140"/>
    <x v="2"/>
    <x v="2"/>
    <x v="2"/>
    <s v="≥0,95"/>
    <s v="Аргос"/>
    <s v="I"/>
    <s v="Прозрачный поликарбонат"/>
    <s v="&lt;1%"/>
    <x v="2"/>
    <n v="70"/>
    <s v="CREE/Samsung 36x4шт"/>
    <s v="350мА"/>
    <x v="1"/>
    <s v="Литой экструдированный алюминиевый анодированный профиль"/>
    <s v="Поворотный кронштейн"/>
    <x v="29"/>
    <n v="7.8803789400000004E-2"/>
    <x v="0"/>
    <x v="2"/>
    <s v="100 000 ч"/>
  </r>
  <r>
    <x v="113"/>
    <x v="30"/>
    <x v="30"/>
    <n v="153"/>
    <s v="SB-00018181"/>
    <s v="К, 20"/>
    <x v="2"/>
    <x v="2"/>
    <x v="2"/>
    <s v="≥0,95"/>
    <s v="Аргос"/>
    <s v="I"/>
    <s v="Прозрачный поликарбонат"/>
    <s v="&lt;1%"/>
    <x v="2"/>
    <n v="70"/>
    <s v="CREE/Samsung 36x4шт"/>
    <s v="350мА"/>
    <x v="1"/>
    <s v="Литой экструдированный алюминиевый анодированный профиль"/>
    <s v="Поворотный кронштейн"/>
    <x v="29"/>
    <n v="7.8803789400000004E-2"/>
    <x v="0"/>
    <x v="2"/>
    <s v="100 000 ч"/>
  </r>
  <r>
    <x v="114"/>
    <x v="30"/>
    <x v="30"/>
    <n v="153"/>
    <s v="SB-00018182"/>
    <s v="К, 35"/>
    <x v="2"/>
    <x v="2"/>
    <x v="2"/>
    <s v="≥0,95"/>
    <s v="Аргос"/>
    <s v="I"/>
    <s v="Прозрачный поликарбонат"/>
    <s v="&lt;1%"/>
    <x v="2"/>
    <n v="70"/>
    <s v="CREE/Samsung 36x4шт"/>
    <s v="350мА"/>
    <x v="1"/>
    <s v="Литой экструдированный алюминиевый анодированный профиль"/>
    <s v="Поворотный кронштейн"/>
    <x v="29"/>
    <n v="7.8803789400000004E-2"/>
    <x v="0"/>
    <x v="2"/>
    <s v="100 000 ч"/>
  </r>
  <r>
    <x v="115"/>
    <x v="30"/>
    <x v="30"/>
    <n v="153"/>
    <s v="SB-00018183"/>
    <s v="Г, 65"/>
    <x v="2"/>
    <x v="2"/>
    <x v="2"/>
    <s v="≥0,95"/>
    <s v="Аргос"/>
    <s v="I"/>
    <s v="Прозрачный поликарбонат"/>
    <s v="&lt;1%"/>
    <x v="2"/>
    <n v="70"/>
    <s v="CREE/Samsung 36x4шт"/>
    <s v="350мА"/>
    <x v="1"/>
    <s v="Литой экструдированный алюминиевый анодированный профиль"/>
    <s v="Поворотный кронштейн"/>
    <x v="29"/>
    <n v="7.8803789400000004E-2"/>
    <x v="0"/>
    <x v="2"/>
    <s v="100 000 ч"/>
  </r>
  <r>
    <x v="116"/>
    <x v="30"/>
    <x v="30"/>
    <n v="153"/>
    <s v="SB-00018184"/>
    <s v="Д, 100"/>
    <x v="2"/>
    <x v="2"/>
    <x v="2"/>
    <s v="≥0,95"/>
    <s v="Аргос"/>
    <s v="I"/>
    <s v="Прозрачный поликарбонат"/>
    <s v="&lt;1%"/>
    <x v="2"/>
    <n v="70"/>
    <s v="CREE/Samsung 36x4шт"/>
    <s v="350мА"/>
    <x v="1"/>
    <s v="Литой экструдированный алюминиевый анодированный профиль"/>
    <s v="Поворотный кронштейн"/>
    <x v="29"/>
    <n v="7.8803789400000004E-2"/>
    <x v="0"/>
    <x v="2"/>
    <s v="100 000 ч"/>
  </r>
  <r>
    <x v="117"/>
    <x v="30"/>
    <x v="30"/>
    <n v="153"/>
    <s v="SB-00018185"/>
    <s v="Овал 30x120"/>
    <x v="2"/>
    <x v="2"/>
    <x v="2"/>
    <s v="≥0,95"/>
    <s v="Аргос"/>
    <s v="I"/>
    <s v="Прозрачный поликарбонат"/>
    <s v="&lt;1%"/>
    <x v="2"/>
    <n v="70"/>
    <s v="CREE/Samsung 36x4шт"/>
    <s v="350мА"/>
    <x v="1"/>
    <s v="Литой экструдированный алюминиевый анодированный профиль"/>
    <s v="Поворотный кронштейн"/>
    <x v="29"/>
    <n v="7.8803789400000004E-2"/>
    <x v="0"/>
    <x v="2"/>
    <s v="100 000 ч"/>
  </r>
  <r>
    <x v="118"/>
    <x v="30"/>
    <x v="30"/>
    <n v="153"/>
    <s v="SB-00018186"/>
    <s v="Ш, 150"/>
    <x v="2"/>
    <x v="2"/>
    <x v="2"/>
    <s v="≥0,95"/>
    <s v="Аргос"/>
    <s v="I"/>
    <s v="Прозрачный поликарбонат"/>
    <s v="&lt;1%"/>
    <x v="2"/>
    <n v="70"/>
    <s v="CREE/Samsung 36x4шт"/>
    <s v="350мА"/>
    <x v="1"/>
    <s v="Литой экструдированный алюминиевый анодированный профиль"/>
    <s v="Поворотный кронштейн"/>
    <x v="29"/>
    <n v="7.8803789400000004E-2"/>
    <x v="0"/>
    <x v="2"/>
    <s v="100 000 ч"/>
  </r>
  <r>
    <x v="119"/>
    <x v="31"/>
    <x v="31"/>
    <n v="162"/>
    <s v="SB-00018187"/>
    <s v="ШБ, 45x140"/>
    <x v="2"/>
    <x v="2"/>
    <x v="2"/>
    <s v="≥0,95"/>
    <s v="Аргос"/>
    <s v="I"/>
    <s v="Прозрачный поликарбонат"/>
    <s v="&lt;1%"/>
    <x v="2"/>
    <n v="70"/>
    <s v="CREE/Samsung 48x4шт"/>
    <s v="350мА"/>
    <x v="1"/>
    <s v="Литой экструдированный алюминиевый анодированный профиль"/>
    <s v="Поворотный кронштейн"/>
    <x v="30"/>
    <n v="0.1048977594"/>
    <x v="0"/>
    <x v="2"/>
    <s v="100 000 ч"/>
  </r>
  <r>
    <x v="120"/>
    <x v="31"/>
    <x v="31"/>
    <n v="162"/>
    <s v="SB-00018188"/>
    <s v="К, 20"/>
    <x v="2"/>
    <x v="2"/>
    <x v="2"/>
    <s v="≥0,95"/>
    <s v="Аргос"/>
    <s v="I"/>
    <s v="Прозрачный поликарбонат"/>
    <s v="&lt;1%"/>
    <x v="2"/>
    <n v="70"/>
    <s v="CREE/Samsung 48x4шт"/>
    <s v="350мА"/>
    <x v="1"/>
    <s v="Литой экструдированный алюминиевый анодированный профиль"/>
    <s v="Поворотный кронштейн"/>
    <x v="30"/>
    <n v="0.1048977594"/>
    <x v="0"/>
    <x v="2"/>
    <s v="100 000 ч"/>
  </r>
  <r>
    <x v="121"/>
    <x v="31"/>
    <x v="31"/>
    <n v="162"/>
    <s v="SB-00018189"/>
    <s v="К, 35"/>
    <x v="2"/>
    <x v="2"/>
    <x v="2"/>
    <s v="≥0,95"/>
    <s v="Аргос"/>
    <s v="I"/>
    <s v="Прозрачный поликарбонат"/>
    <s v="&lt;1%"/>
    <x v="2"/>
    <n v="70"/>
    <s v="CREE/Samsung 48x4шт"/>
    <s v="350мА"/>
    <x v="1"/>
    <s v="Литой экструдированный алюминиевый анодированный профиль"/>
    <s v="Поворотный кронштейн"/>
    <x v="30"/>
    <n v="0.1048977594"/>
    <x v="0"/>
    <x v="2"/>
    <s v="100 000 ч"/>
  </r>
  <r>
    <x v="122"/>
    <x v="31"/>
    <x v="31"/>
    <n v="162"/>
    <s v="SB-00018190"/>
    <s v="Г, 65"/>
    <x v="2"/>
    <x v="2"/>
    <x v="2"/>
    <s v="≥0,95"/>
    <s v="Аргос"/>
    <s v="I"/>
    <s v="Прозрачный поликарбонат"/>
    <s v="&lt;1%"/>
    <x v="2"/>
    <n v="70"/>
    <s v="CREE/Samsung 48x4шт"/>
    <s v="350мА"/>
    <x v="1"/>
    <s v="Литой экструдированный алюминиевый анодированный профиль"/>
    <s v="Поворотный кронштейн"/>
    <x v="30"/>
    <n v="0.1048977594"/>
    <x v="0"/>
    <x v="2"/>
    <s v="100 000 ч"/>
  </r>
  <r>
    <x v="123"/>
    <x v="31"/>
    <x v="31"/>
    <n v="162"/>
    <s v="SB-00018191"/>
    <s v="Д, 100"/>
    <x v="2"/>
    <x v="2"/>
    <x v="2"/>
    <s v="≥0,95"/>
    <s v="Аргос"/>
    <s v="I"/>
    <s v="Прозрачный поликарбонат"/>
    <s v="&lt;1%"/>
    <x v="2"/>
    <n v="70"/>
    <s v="CREE/Samsung 48x4шт"/>
    <s v="350мА"/>
    <x v="1"/>
    <s v="Литой экструдированный алюминиевый анодированный профиль"/>
    <s v="Поворотный кронштейн"/>
    <x v="30"/>
    <n v="0.1048977594"/>
    <x v="0"/>
    <x v="2"/>
    <s v="100 000 ч"/>
  </r>
  <r>
    <x v="124"/>
    <x v="31"/>
    <x v="31"/>
    <n v="162"/>
    <s v="SB-00018192"/>
    <s v="Овал 30x120"/>
    <x v="2"/>
    <x v="2"/>
    <x v="2"/>
    <s v="≥0,95"/>
    <s v="Аргос"/>
    <s v="I"/>
    <s v="Прозрачный поликарбонат"/>
    <s v="&lt;1%"/>
    <x v="2"/>
    <n v="70"/>
    <s v="CREE/Samsung 48x4шт"/>
    <s v="350мА"/>
    <x v="1"/>
    <s v="Литой экструдированный алюминиевый анодированный профиль"/>
    <s v="Поворотный кронштейн"/>
    <x v="30"/>
    <n v="0.1048977594"/>
    <x v="0"/>
    <x v="2"/>
    <s v="100 000 ч"/>
  </r>
  <r>
    <x v="125"/>
    <x v="31"/>
    <x v="31"/>
    <n v="162"/>
    <s v="SB-00018193"/>
    <s v="Ш, 150"/>
    <x v="2"/>
    <x v="2"/>
    <x v="2"/>
    <s v="≥0,95"/>
    <s v="Аргос"/>
    <s v="I"/>
    <s v="Прозрачный поликарбонат"/>
    <s v="&lt;1%"/>
    <x v="2"/>
    <n v="70"/>
    <s v="CREE/Samsung 48x4шт"/>
    <s v="350мА"/>
    <x v="1"/>
    <s v="Литой экструдированный алюминиевый анодированный профиль"/>
    <s v="Поворотный кронштейн"/>
    <x v="30"/>
    <n v="0.1048977594"/>
    <x v="0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26"/>
    <x v="32"/>
    <x v="32"/>
    <n v="120"/>
    <s v="SB-00017910"/>
    <s v="Д, 120"/>
    <x v="2"/>
    <x v="2"/>
    <x v="2"/>
    <s v="≥0,95"/>
    <s v="Аргос"/>
    <s v="I"/>
    <s v="Прозрачный поликарбонат"/>
    <s v="&lt;1%"/>
    <x v="2"/>
    <n v="80"/>
    <s v="Samsung LM281B"/>
    <m/>
    <x v="1"/>
    <s v="Литой экструдированный алюминиевый анодированный профиль"/>
    <s v="Универсальный поворотный кронштейн"/>
    <x v="31"/>
    <n v="1.2940200000000001E-3"/>
    <x v="0"/>
    <x v="2"/>
    <s v="100 000 ч"/>
  </r>
  <r>
    <x v="127"/>
    <x v="33"/>
    <x v="33"/>
    <n v="120"/>
    <s v="SB-00018194"/>
    <s v="Д, 120"/>
    <x v="2"/>
    <x v="2"/>
    <x v="2"/>
    <s v="≥0,95"/>
    <s v="Аргос"/>
    <s v="I"/>
    <s v="Прозрачный поликарбонат"/>
    <s v="&lt;1%"/>
    <x v="2"/>
    <n v="80"/>
    <s v="Samsung LM281B+ 25шт"/>
    <s v="140мА"/>
    <x v="1"/>
    <s v="Литой экструдированный алюминиевый анодированный профиль"/>
    <s v="Универсальный поворотный кронштейн"/>
    <x v="32"/>
    <n v="2.5225199999999999E-3"/>
    <x v="0"/>
    <x v="2"/>
    <s v="100 000 ч"/>
  </r>
  <r>
    <x v="128"/>
    <x v="34"/>
    <x v="34"/>
    <n v="120"/>
    <s v="SB-00018195"/>
    <s v="Д, 120"/>
    <x v="2"/>
    <x v="2"/>
    <x v="2"/>
    <s v="≥0,95"/>
    <s v="Аргос"/>
    <s v="I"/>
    <s v="Прозрачный поликарбонат"/>
    <s v="&lt;1%"/>
    <x v="2"/>
    <n v="80"/>
    <s v="Samsung LM281B+ 50шт"/>
    <s v="140мА"/>
    <x v="1"/>
    <s v="Литой экструдированный алюминиевый анодированный профиль"/>
    <s v="Универсальный поворотный кронштейн"/>
    <x v="33"/>
    <n v="4.9795200000000003E-3"/>
    <x v="0"/>
    <x v="2"/>
    <s v="100 000 ч"/>
  </r>
  <r>
    <x v="129"/>
    <x v="35"/>
    <x v="35"/>
    <n v="120"/>
    <s v="SB-00018196"/>
    <s v="Д, 120"/>
    <x v="2"/>
    <x v="2"/>
    <x v="2"/>
    <s v="≥0,95"/>
    <s v="Аргос"/>
    <s v="I"/>
    <s v="Прозрачный поликарбонат"/>
    <s v="&lt;1%"/>
    <x v="2"/>
    <n v="80"/>
    <s v="Samsung LM281B+ 75шт"/>
    <s v="140мА"/>
    <x v="1"/>
    <s v="Литой экструдированный алюминиевый анодированный профиль"/>
    <s v="Универсальный поворотный кронштейн"/>
    <x v="34"/>
    <n v="7.4365200000000003E-3"/>
    <x v="0"/>
    <x v="2"/>
    <s v="100 000 ч"/>
  </r>
  <r>
    <x v="130"/>
    <x v="36"/>
    <x v="36"/>
    <n v="120"/>
    <s v="SB-00018197"/>
    <s v="Д, 120"/>
    <x v="2"/>
    <x v="2"/>
    <x v="2"/>
    <s v="≥0,95"/>
    <s v="Аргос"/>
    <s v="I"/>
    <s v="Прозрачный поликарбонат"/>
    <s v="&lt;1%"/>
    <x v="2"/>
    <n v="80"/>
    <s v="Samsung LM281B+ 100шт"/>
    <s v="140мА"/>
    <x v="1"/>
    <s v="Литой экструдированный алюминиевый анодированный профиль"/>
    <s v="Универсальный поворотный кронштейн"/>
    <x v="35"/>
    <n v="9.8935199999999994E-3"/>
    <x v="0"/>
    <x v="2"/>
    <s v="100 000 ч"/>
  </r>
  <r>
    <x v="131"/>
    <x v="37"/>
    <x v="37"/>
    <n v="120"/>
    <s v="SB-00018198"/>
    <s v="Д, 120"/>
    <x v="2"/>
    <x v="2"/>
    <x v="2"/>
    <s v="≥0,95"/>
    <s v="Аргос"/>
    <s v="I"/>
    <s v="Прозрачный поликарбонат"/>
    <s v="&lt;1%"/>
    <x v="2"/>
    <n v="80"/>
    <s v="Samsung LM281B+ 168шт"/>
    <s v="117мА"/>
    <x v="1"/>
    <s v="Литой экструдированный алюминиевый анодированный профиль"/>
    <s v="Универсальный поворотный кронштейн"/>
    <x v="36"/>
    <n v="1.235052E-2"/>
    <x v="0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32"/>
    <x v="38"/>
    <x v="32"/>
    <n v="146"/>
    <s v="SB-00018199"/>
    <s v="К, 8"/>
    <x v="2"/>
    <x v="2"/>
    <x v="2"/>
    <s v="≥0,95"/>
    <s v="Аргос"/>
    <s v="I"/>
    <s v="Прозрачный поликарбонат"/>
    <s v="&lt;1%"/>
    <x v="2"/>
    <n v="70"/>
    <s v="Samsung LH351B 6шт"/>
    <s v="350мА"/>
    <x v="1"/>
    <s v="Литой экструдированный алюминиевый анодированный профиль"/>
    <s v="Универсальный поворотный кронштейн"/>
    <x v="31"/>
    <n v="1.2940200000000001E-3"/>
    <x v="0"/>
    <x v="2"/>
    <s v="100 000 ч"/>
  </r>
  <r>
    <x v="133"/>
    <x v="38"/>
    <x v="32"/>
    <n v="146"/>
    <s v="SB-00018200"/>
    <s v="К, 15"/>
    <x v="2"/>
    <x v="2"/>
    <x v="2"/>
    <s v="≥0,95"/>
    <s v="Аргос"/>
    <s v="I"/>
    <s v="Прозрачный поликарбонат"/>
    <s v="&lt;1%"/>
    <x v="2"/>
    <n v="70"/>
    <s v="Samsung LH351B 6шт"/>
    <s v="350мА"/>
    <x v="1"/>
    <s v="Литой экструдированный алюминиевый анодированный профиль"/>
    <s v="Универсальный поворотный кронштейн"/>
    <x v="31"/>
    <n v="1.2940200000000001E-3"/>
    <x v="0"/>
    <x v="2"/>
    <s v="100 000 ч"/>
  </r>
  <r>
    <x v="134"/>
    <x v="38"/>
    <x v="32"/>
    <n v="146"/>
    <s v="SB-00018201"/>
    <s v="К, 25"/>
    <x v="2"/>
    <x v="2"/>
    <x v="2"/>
    <s v="≥0,95"/>
    <s v="Аргос"/>
    <s v="I"/>
    <s v="Прозрачный поликарбонат"/>
    <s v="&lt;1%"/>
    <x v="2"/>
    <n v="70"/>
    <s v="Samsung LH351B 6шт"/>
    <s v="350мА"/>
    <x v="1"/>
    <s v="Литой экструдированный алюминиевый анодированный профиль"/>
    <s v="Универсальный поворотный кронштейн"/>
    <x v="31"/>
    <n v="1.2940200000000001E-3"/>
    <x v="0"/>
    <x v="2"/>
    <s v="100 000 ч"/>
  </r>
  <r>
    <x v="135"/>
    <x v="38"/>
    <x v="32"/>
    <n v="146"/>
    <s v="SB-00018202"/>
    <s v="Г, 45"/>
    <x v="2"/>
    <x v="2"/>
    <x v="2"/>
    <s v="≥0,95"/>
    <s v="Аргос"/>
    <s v="I"/>
    <s v="Прозрачный поликарбонат"/>
    <s v="&lt;1%"/>
    <x v="2"/>
    <n v="70"/>
    <s v="Samsung LH351B 6шт"/>
    <s v="350мА"/>
    <x v="1"/>
    <s v="Литой экструдированный алюминиевый анодированный профиль"/>
    <s v="Универсальный поворотный кронштейн"/>
    <x v="31"/>
    <n v="1.2940200000000001E-3"/>
    <x v="0"/>
    <x v="2"/>
    <s v="100 000 ч"/>
  </r>
  <r>
    <x v="136"/>
    <x v="38"/>
    <x v="32"/>
    <n v="146"/>
    <s v="SB-00018203"/>
    <s v="Овал 10x60"/>
    <x v="2"/>
    <x v="2"/>
    <x v="2"/>
    <s v="≥0,95"/>
    <s v="Аргос"/>
    <s v="I"/>
    <s v="Прозрачный поликарбонат"/>
    <s v="&lt;1%"/>
    <x v="2"/>
    <n v="70"/>
    <s v="Samsung LH351B 6шт"/>
    <s v="350мА"/>
    <x v="1"/>
    <s v="Литой экструдированный алюминиевый анодированный профиль"/>
    <s v="Универсальный поворотный кронштейн"/>
    <x v="31"/>
    <n v="1.2940200000000001E-3"/>
    <x v="0"/>
    <x v="2"/>
    <s v="100 000 ч"/>
  </r>
  <r>
    <x v="137"/>
    <x v="39"/>
    <x v="33"/>
    <n v="146"/>
    <s v="SB-00018204"/>
    <s v="К, 8"/>
    <x v="2"/>
    <x v="2"/>
    <x v="2"/>
    <s v="≥0,95"/>
    <s v="Аргос"/>
    <s v="I"/>
    <s v="Прозрачный поликарбонат"/>
    <s v="&lt;1%"/>
    <x v="2"/>
    <n v="70"/>
    <s v="Samsung LH351B 12шт"/>
    <s v="350мА"/>
    <x v="1"/>
    <s v="Литой экструдированный алюминиевый анодированный профиль"/>
    <s v="Универсальный поворотный кронштейн"/>
    <x v="32"/>
    <n v="2.5225199999999999E-3"/>
    <x v="0"/>
    <x v="2"/>
    <s v="100 000 ч"/>
  </r>
  <r>
    <x v="138"/>
    <x v="39"/>
    <x v="33"/>
    <n v="146"/>
    <s v="SB-00018205"/>
    <s v="К, 15"/>
    <x v="2"/>
    <x v="2"/>
    <x v="2"/>
    <s v="≥0,95"/>
    <s v="Аргос"/>
    <s v="I"/>
    <s v="Прозрачный поликарбонат"/>
    <s v="&lt;1%"/>
    <x v="2"/>
    <n v="70"/>
    <s v="Samsung LH351B 12шт"/>
    <s v="350мА"/>
    <x v="1"/>
    <s v="Литой экструдированный алюминиевый анодированный профиль"/>
    <s v="Универсальный поворотный кронштейн"/>
    <x v="32"/>
    <n v="2.5225199999999999E-3"/>
    <x v="0"/>
    <x v="2"/>
    <s v="100 000 ч"/>
  </r>
  <r>
    <x v="139"/>
    <x v="39"/>
    <x v="33"/>
    <n v="146"/>
    <s v="SB-00018206"/>
    <s v="К, 25"/>
    <x v="2"/>
    <x v="2"/>
    <x v="2"/>
    <s v="≥0,95"/>
    <s v="Аргос"/>
    <s v="I"/>
    <s v="Прозрачный поликарбонат"/>
    <s v="&lt;1%"/>
    <x v="2"/>
    <n v="70"/>
    <s v="Samsung LH351B 12шт"/>
    <s v="350мА"/>
    <x v="1"/>
    <s v="Литой экструдированный алюминиевый анодированный профиль"/>
    <s v="Универсальный поворотный кронштейн"/>
    <x v="32"/>
    <n v="2.5225199999999999E-3"/>
    <x v="0"/>
    <x v="2"/>
    <s v="100 000 ч"/>
  </r>
  <r>
    <x v="140"/>
    <x v="39"/>
    <x v="33"/>
    <n v="146"/>
    <s v="SB-00018207"/>
    <s v="Г, 45"/>
    <x v="2"/>
    <x v="2"/>
    <x v="2"/>
    <s v="≥0,95"/>
    <s v="Аргос"/>
    <s v="I"/>
    <s v="Прозрачный поликарбонат"/>
    <s v="&lt;1%"/>
    <x v="2"/>
    <n v="70"/>
    <s v="Samsung LH351B 12шт"/>
    <s v="350мА"/>
    <x v="1"/>
    <s v="Литой экструдированный алюминиевый анодированный профиль"/>
    <s v="Универсальный поворотный кронштейн"/>
    <x v="32"/>
    <n v="2.5225199999999999E-3"/>
    <x v="0"/>
    <x v="2"/>
    <s v="100 000 ч"/>
  </r>
  <r>
    <x v="141"/>
    <x v="39"/>
    <x v="33"/>
    <n v="146"/>
    <s v="SB-00018208"/>
    <s v="Овал 10x60"/>
    <x v="2"/>
    <x v="2"/>
    <x v="2"/>
    <s v="≥0,95"/>
    <s v="Аргос"/>
    <s v="I"/>
    <s v="Прозрачный поликарбонат"/>
    <s v="&lt;1%"/>
    <x v="2"/>
    <n v="70"/>
    <s v="Samsung LH351B 12шт"/>
    <s v="350мА"/>
    <x v="1"/>
    <s v="Литой экструдированный алюминиевый анодированный профиль"/>
    <s v="Универсальный поворотный кронштейн"/>
    <x v="32"/>
    <n v="2.5225199999999999E-3"/>
    <x v="0"/>
    <x v="2"/>
    <s v="100 000 ч"/>
  </r>
  <r>
    <x v="142"/>
    <x v="40"/>
    <x v="34"/>
    <n v="153"/>
    <s v="SB-00018209"/>
    <s v="К, 8"/>
    <x v="2"/>
    <x v="2"/>
    <x v="2"/>
    <s v="≥0,95"/>
    <s v="Аргос"/>
    <s v="I"/>
    <s v="Прозрачный поликарбонат"/>
    <s v="&lt;1%"/>
    <x v="2"/>
    <n v="70"/>
    <s v="Samsung LH351B 24шт"/>
    <s v="350мА"/>
    <x v="1"/>
    <s v="Литой экструдированный алюминиевый анодированный профиль"/>
    <s v="Универсальный поворотный кронштейн"/>
    <x v="33"/>
    <n v="4.9795200000000003E-3"/>
    <x v="0"/>
    <x v="2"/>
    <s v="100 000 ч"/>
  </r>
  <r>
    <x v="143"/>
    <x v="40"/>
    <x v="34"/>
    <n v="153"/>
    <s v="SB-00018210"/>
    <s v="К, 15"/>
    <x v="2"/>
    <x v="2"/>
    <x v="2"/>
    <s v="≥0,95"/>
    <s v="Аргос"/>
    <s v="I"/>
    <s v="Прозрачный поликарбонат"/>
    <s v="&lt;1%"/>
    <x v="2"/>
    <n v="70"/>
    <s v="Samsung LH351B 24шт"/>
    <s v="350мА"/>
    <x v="1"/>
    <s v="Литой экструдированный алюминиевый анодированный профиль"/>
    <s v="Универсальный поворотный кронштейн"/>
    <x v="33"/>
    <n v="4.9795200000000003E-3"/>
    <x v="0"/>
    <x v="2"/>
    <s v="100 000 ч"/>
  </r>
  <r>
    <x v="144"/>
    <x v="40"/>
    <x v="34"/>
    <n v="153"/>
    <s v="SB-00018211"/>
    <s v="К, 25"/>
    <x v="2"/>
    <x v="2"/>
    <x v="2"/>
    <s v="≥0,95"/>
    <s v="Аргос"/>
    <s v="I"/>
    <s v="Прозрачный поликарбонат"/>
    <s v="&lt;1%"/>
    <x v="2"/>
    <n v="70"/>
    <s v="Samsung LH351B 24шт"/>
    <s v="350мА"/>
    <x v="1"/>
    <s v="Литой экструдированный алюминиевый анодированный профиль"/>
    <s v="Универсальный поворотный кронштейн"/>
    <x v="33"/>
    <n v="4.9795200000000003E-3"/>
    <x v="0"/>
    <x v="2"/>
    <s v="100 000 ч"/>
  </r>
  <r>
    <x v="145"/>
    <x v="40"/>
    <x v="34"/>
    <n v="153"/>
    <s v="SB-00018212"/>
    <s v="Г, 45"/>
    <x v="2"/>
    <x v="2"/>
    <x v="2"/>
    <s v="≥0,95"/>
    <s v="Аргос"/>
    <s v="I"/>
    <s v="Прозрачный поликарбонат"/>
    <s v="&lt;1%"/>
    <x v="2"/>
    <n v="70"/>
    <s v="Samsung LH351B 24шт"/>
    <s v="350мА"/>
    <x v="1"/>
    <s v="Литой экструдированный алюминиевый анодированный профиль"/>
    <s v="Универсальный поворотный кронштейн"/>
    <x v="33"/>
    <n v="4.9795200000000003E-3"/>
    <x v="0"/>
    <x v="2"/>
    <s v="100 000 ч"/>
  </r>
  <r>
    <x v="146"/>
    <x v="40"/>
    <x v="34"/>
    <n v="153"/>
    <s v="SB-00018213"/>
    <s v="Овал 10x60"/>
    <x v="2"/>
    <x v="2"/>
    <x v="2"/>
    <s v="≥0,95"/>
    <s v="Аргос"/>
    <s v="I"/>
    <s v="Прозрачный поликарбонат"/>
    <s v="&lt;1%"/>
    <x v="2"/>
    <n v="70"/>
    <s v="Samsung LH351B 24шт"/>
    <s v="350мА"/>
    <x v="1"/>
    <s v="Литой экструдированный алюминиевый анодированный профиль"/>
    <s v="Универсальный поворотный кронштейн"/>
    <x v="33"/>
    <n v="4.9795200000000003E-3"/>
    <x v="0"/>
    <x v="2"/>
    <s v="100 000 ч"/>
  </r>
  <r>
    <x v="147"/>
    <x v="41"/>
    <x v="35"/>
    <n v="153"/>
    <s v="SB-00018214"/>
    <s v="К, 8"/>
    <x v="2"/>
    <x v="2"/>
    <x v="2"/>
    <s v="≥0,95"/>
    <s v="Аргос"/>
    <s v="I"/>
    <s v="Прозрачный поликарбонат"/>
    <s v="&lt;1%"/>
    <x v="2"/>
    <n v="70"/>
    <s v="Samsung LH351B 36шт"/>
    <s v="350мА"/>
    <x v="1"/>
    <s v="Литой экструдированный алюминиевый анодированный профиль"/>
    <s v="Универсальный поворотный кронштейн"/>
    <x v="34"/>
    <n v="7.4365200000000003E-3"/>
    <x v="0"/>
    <x v="2"/>
    <s v="100 000 ч"/>
  </r>
  <r>
    <x v="148"/>
    <x v="41"/>
    <x v="35"/>
    <n v="153"/>
    <s v="SB-00018215"/>
    <s v="К, 15"/>
    <x v="2"/>
    <x v="2"/>
    <x v="2"/>
    <s v="≥0,95"/>
    <s v="Аргос"/>
    <s v="I"/>
    <s v="Прозрачный поликарбонат"/>
    <s v="&lt;1%"/>
    <x v="2"/>
    <n v="70"/>
    <s v="Samsung LH351B 36шт"/>
    <s v="350мА"/>
    <x v="1"/>
    <s v="Литой экструдированный алюминиевый анодированный профиль"/>
    <s v="Универсальный поворотный кронштейн"/>
    <x v="34"/>
    <n v="7.4365200000000003E-3"/>
    <x v="0"/>
    <x v="2"/>
    <s v="100 000 ч"/>
  </r>
  <r>
    <x v="149"/>
    <x v="41"/>
    <x v="35"/>
    <n v="153"/>
    <s v="SB-00018216"/>
    <s v="К, 25"/>
    <x v="2"/>
    <x v="2"/>
    <x v="2"/>
    <s v="≥0,95"/>
    <s v="Аргос"/>
    <s v="I"/>
    <s v="Прозрачный поликарбонат"/>
    <s v="&lt;1%"/>
    <x v="2"/>
    <n v="70"/>
    <s v="Samsung LH351B 36шт"/>
    <s v="350мА"/>
    <x v="1"/>
    <s v="Литой экструдированный алюминиевый анодированный профиль"/>
    <s v="Универсальный поворотный кронштейн"/>
    <x v="34"/>
    <n v="7.4365200000000003E-3"/>
    <x v="0"/>
    <x v="2"/>
    <s v="100 000 ч"/>
  </r>
  <r>
    <x v="150"/>
    <x v="41"/>
    <x v="35"/>
    <n v="153"/>
    <s v="SB-00018217"/>
    <s v="Г, 45"/>
    <x v="2"/>
    <x v="2"/>
    <x v="2"/>
    <s v="≥0,95"/>
    <s v="Аргос"/>
    <s v="I"/>
    <s v="Прозрачный поликарбонат"/>
    <s v="&lt;1%"/>
    <x v="2"/>
    <n v="70"/>
    <s v="Samsung LH351B 36шт"/>
    <s v="350мА"/>
    <x v="1"/>
    <s v="Литой экструдированный алюминиевый анодированный профиль"/>
    <s v="Универсальный поворотный кронштейн"/>
    <x v="34"/>
    <n v="7.4365200000000003E-3"/>
    <x v="0"/>
    <x v="2"/>
    <s v="100 000 ч"/>
  </r>
  <r>
    <x v="151"/>
    <x v="41"/>
    <x v="35"/>
    <n v="153"/>
    <s v="SB-00018218"/>
    <s v="Овал 10x60"/>
    <x v="2"/>
    <x v="2"/>
    <x v="2"/>
    <s v="≥0,95"/>
    <s v="Аргос"/>
    <s v="I"/>
    <s v="Прозрачный поликарбонат"/>
    <s v="&lt;1%"/>
    <x v="2"/>
    <n v="70"/>
    <s v="Samsung LH351B 36шт"/>
    <s v="350мА"/>
    <x v="1"/>
    <s v="Литой экструдированный алюминиевый анодированный профиль"/>
    <s v="Универсальный поворотный кронштейн"/>
    <x v="34"/>
    <n v="7.4365200000000003E-3"/>
    <x v="0"/>
    <x v="2"/>
    <s v="100 000 ч"/>
  </r>
  <r>
    <x v="152"/>
    <x v="42"/>
    <x v="36"/>
    <n v="147"/>
    <s v="SB-00018219"/>
    <s v="К, 8"/>
    <x v="2"/>
    <x v="2"/>
    <x v="2"/>
    <s v="≥0,95"/>
    <s v="Аргос"/>
    <s v="I"/>
    <s v="Прозрачный поликарбонат"/>
    <s v="&lt;1%"/>
    <x v="2"/>
    <n v="70"/>
    <s v="Samsung LH351B 48шт"/>
    <s v="350мА"/>
    <x v="1"/>
    <s v="Литой экструдированный алюминиевый анодированный профиль"/>
    <s v="Универсальный поворотный кронштейн"/>
    <x v="35"/>
    <n v="9.8935199999999994E-3"/>
    <x v="0"/>
    <x v="2"/>
    <s v="100 000 ч"/>
  </r>
  <r>
    <x v="153"/>
    <x v="42"/>
    <x v="36"/>
    <n v="147"/>
    <s v="SB-00018220"/>
    <s v="К, 15"/>
    <x v="2"/>
    <x v="2"/>
    <x v="2"/>
    <s v="≥0,95"/>
    <s v="Аргос"/>
    <s v="I"/>
    <s v="Прозрачный поликарбонат"/>
    <s v="&lt;1%"/>
    <x v="2"/>
    <n v="70"/>
    <s v="Samsung LH351B 48шт"/>
    <s v="350мА"/>
    <x v="1"/>
    <s v="Литой экструдированный алюминиевый анодированный профиль"/>
    <s v="Универсальный поворотный кронштейн"/>
    <x v="35"/>
    <n v="9.8935199999999994E-3"/>
    <x v="0"/>
    <x v="2"/>
    <s v="100 000 ч"/>
  </r>
  <r>
    <x v="154"/>
    <x v="42"/>
    <x v="36"/>
    <n v="147"/>
    <s v="SB-00018221"/>
    <s v="К, 25"/>
    <x v="2"/>
    <x v="2"/>
    <x v="2"/>
    <s v="≥0,95"/>
    <s v="Аргос"/>
    <s v="I"/>
    <s v="Прозрачный поликарбонат"/>
    <s v="&lt;1%"/>
    <x v="2"/>
    <n v="70"/>
    <s v="Samsung LH351B 48шт"/>
    <s v="350мА"/>
    <x v="1"/>
    <s v="Литой экструдированный алюминиевый анодированный профиль"/>
    <s v="Универсальный поворотный кронштейн"/>
    <x v="35"/>
    <n v="9.8935199999999994E-3"/>
    <x v="0"/>
    <x v="2"/>
    <s v="100 000 ч"/>
  </r>
  <r>
    <x v="155"/>
    <x v="42"/>
    <x v="36"/>
    <n v="147"/>
    <s v="SB-00018222"/>
    <s v="Г, 45"/>
    <x v="2"/>
    <x v="2"/>
    <x v="2"/>
    <s v="≥0,95"/>
    <s v="Аргос"/>
    <s v="I"/>
    <s v="Прозрачный поликарбонат"/>
    <s v="&lt;1%"/>
    <x v="2"/>
    <n v="70"/>
    <s v="Samsung LH351B 48шт"/>
    <s v="350мА"/>
    <x v="1"/>
    <s v="Литой экструдированный алюминиевый анодированный профиль"/>
    <s v="Универсальный поворотный кронштейн"/>
    <x v="35"/>
    <n v="9.8935199999999994E-3"/>
    <x v="0"/>
    <x v="2"/>
    <s v="100 000 ч"/>
  </r>
  <r>
    <x v="156"/>
    <x v="42"/>
    <x v="36"/>
    <n v="147"/>
    <s v="SB-00018223"/>
    <s v="Овал 10x60"/>
    <x v="2"/>
    <x v="2"/>
    <x v="2"/>
    <s v="≥0,95"/>
    <s v="Аргос"/>
    <s v="I"/>
    <s v="Прозрачный поликарбонат"/>
    <s v="&lt;1%"/>
    <x v="2"/>
    <n v="70"/>
    <s v="Samsung LH351B 48шт"/>
    <s v="350мА"/>
    <x v="1"/>
    <s v="Литой экструдированный алюминиевый анодированный профиль"/>
    <s v="Универсальный поворотный кронштейн"/>
    <x v="35"/>
    <n v="9.8935199999999994E-3"/>
    <x v="0"/>
    <x v="2"/>
    <s v="100 000 ч"/>
  </r>
  <r>
    <x v="157"/>
    <x v="43"/>
    <x v="37"/>
    <n v="143"/>
    <s v="SB-00018224"/>
    <s v="К, 8"/>
    <x v="2"/>
    <x v="2"/>
    <x v="2"/>
    <s v="≥0,95"/>
    <s v="Аргос"/>
    <s v="I"/>
    <s v="Прозрачный поликарбонат"/>
    <s v="&lt;1%"/>
    <x v="2"/>
    <n v="70"/>
    <s v="Samsung LH351B 60шт"/>
    <s v="350мА"/>
    <x v="1"/>
    <s v="Литой экструдированный алюминиевый анодированный профиль"/>
    <s v="Универсальный поворотный кронштейн"/>
    <x v="36"/>
    <n v="1.235052E-2"/>
    <x v="0"/>
    <x v="2"/>
    <s v="100 000 ч"/>
  </r>
  <r>
    <x v="158"/>
    <x v="43"/>
    <x v="37"/>
    <n v="143"/>
    <s v="SB-00018225"/>
    <s v="К, 15"/>
    <x v="2"/>
    <x v="2"/>
    <x v="2"/>
    <s v="≥0,95"/>
    <s v="Аргос"/>
    <s v="I"/>
    <s v="Прозрачный поликарбонат"/>
    <s v="&lt;1%"/>
    <x v="2"/>
    <n v="70"/>
    <s v="Samsung LH351B 60шт"/>
    <s v="350мА"/>
    <x v="1"/>
    <s v="Литой экструдированный алюминиевый анодированный профиль"/>
    <s v="Универсальный поворотный кронштейн"/>
    <x v="36"/>
    <n v="1.235052E-2"/>
    <x v="0"/>
    <x v="2"/>
    <s v="100 000 ч"/>
  </r>
  <r>
    <x v="159"/>
    <x v="43"/>
    <x v="37"/>
    <n v="143"/>
    <s v="SB-00018226"/>
    <s v="К, 25"/>
    <x v="2"/>
    <x v="2"/>
    <x v="2"/>
    <s v="≥0,95"/>
    <s v="Аргос"/>
    <s v="I"/>
    <s v="Прозрачный поликарбонат"/>
    <s v="&lt;1%"/>
    <x v="2"/>
    <n v="70"/>
    <s v="Samsung LH351B 60шт"/>
    <s v="350мА"/>
    <x v="1"/>
    <s v="Литой экструдированный алюминиевый анодированный профиль"/>
    <s v="Универсальный поворотный кронштейн"/>
    <x v="36"/>
    <n v="1.235052E-2"/>
    <x v="0"/>
    <x v="2"/>
    <s v="100 000 ч"/>
  </r>
  <r>
    <x v="160"/>
    <x v="43"/>
    <x v="37"/>
    <n v="143"/>
    <s v="SB-00018227"/>
    <s v="Г, 45"/>
    <x v="2"/>
    <x v="2"/>
    <x v="2"/>
    <s v="≥0,95"/>
    <s v="Аргос"/>
    <s v="I"/>
    <s v="Прозрачный поликарбонат"/>
    <s v="&lt;1%"/>
    <x v="2"/>
    <n v="70"/>
    <s v="Samsung LH351B 60шт"/>
    <s v="350мА"/>
    <x v="1"/>
    <s v="Литой экструдированный алюминиевый анодированный профиль"/>
    <s v="Универсальный поворотный кронштейн"/>
    <x v="36"/>
    <n v="1.235052E-2"/>
    <x v="0"/>
    <x v="2"/>
    <s v="100 000 ч"/>
  </r>
  <r>
    <x v="161"/>
    <x v="43"/>
    <x v="37"/>
    <n v="143"/>
    <s v="SB-00018228"/>
    <s v="Овал 10x60"/>
    <x v="2"/>
    <x v="2"/>
    <x v="2"/>
    <s v="≥0,95"/>
    <s v="Аргос"/>
    <s v="I"/>
    <s v="Прозрачный поликарбонат"/>
    <s v="&lt;1%"/>
    <x v="2"/>
    <n v="70"/>
    <s v="Samsung LH351B 60шт"/>
    <s v="350мА"/>
    <x v="1"/>
    <s v="Литой экструдированный алюминиевый анодированный профиль"/>
    <s v="Универсальный поворотный кронштейн"/>
    <x v="36"/>
    <n v="1.235052E-2"/>
    <x v="0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62"/>
    <x v="44"/>
    <x v="33"/>
    <n v="153"/>
    <s v="SB-00018307"/>
    <s v="Д, 120"/>
    <x v="2"/>
    <x v="2"/>
    <x v="2"/>
    <s v="≥0,95"/>
    <s v="Аргос"/>
    <s v="I"/>
    <s v="Матовый поликарбонат"/>
    <s v="&lt;1%"/>
    <x v="2"/>
    <n v="80"/>
    <s v="Samsung LM281B+ 25шт"/>
    <s v="140мА"/>
    <x v="1"/>
    <s v="Литой экструдированный алюминиевый анодированный профиль"/>
    <s v="Универсальный поворотный кронштейн (накладной монтад на првную поверхность)"/>
    <x v="37"/>
    <m/>
    <x v="0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63"/>
    <x v="45"/>
    <x v="5"/>
    <n v="163"/>
    <s v="SB-00015703"/>
    <s v="Д, 120"/>
    <x v="1"/>
    <x v="2"/>
    <x v="2"/>
    <s v="≥0,95"/>
    <s v="Аргос/Трион с защитой от 380В или иной по запросу"/>
    <s v="II"/>
    <s v="Стекло закаленное силикатное прозрачное (4 мм)"/>
    <s v="&lt;1%"/>
    <x v="2"/>
    <n v="80"/>
    <s v="Samsung LM281B+ 168 шт"/>
    <s v="58мА"/>
    <x v="1"/>
    <s v="Литой экструдированный алюминиевый анодированный профиль"/>
    <s v="Поворотный кронштейн с хомутом на трубу до 50.8мм"/>
    <x v="38"/>
    <n v="0.1"/>
    <x v="5"/>
    <x v="3"/>
    <s v="100 000 ч"/>
  </r>
  <r>
    <x v="164"/>
    <x v="46"/>
    <x v="6"/>
    <n v="171"/>
    <s v="SB-00015708"/>
    <s v="Д, 120"/>
    <x v="1"/>
    <x v="2"/>
    <x v="2"/>
    <s v="≥0,95"/>
    <s v="Аргос/Трион с защитой от 380В или иной по запросу"/>
    <s v="II"/>
    <s v="Стекло закаленное силикатное прозрачное (4 мм)"/>
    <s v="&lt;1%"/>
    <x v="2"/>
    <n v="80"/>
    <s v="Samsung LM281B+ 264 шт"/>
    <s v="58мА"/>
    <x v="1"/>
    <s v="Литой экструдированный алюминиевый анодированный профиль"/>
    <s v="Поворотный кронштейн с хомутом на трубу до 50.8мм"/>
    <x v="39"/>
    <n v="0.1"/>
    <x v="6"/>
    <x v="3"/>
    <s v="100 000 ч"/>
  </r>
  <r>
    <x v="165"/>
    <x v="47"/>
    <x v="7"/>
    <n v="172"/>
    <s v="SB-00015712"/>
    <s v="Д, 120"/>
    <x v="1"/>
    <x v="2"/>
    <x v="2"/>
    <s v="≥0,95"/>
    <s v="Аргос/Трион с защитой от 380В или иной по запросу"/>
    <s v="II"/>
    <s v="Стекло закаленное силикатное прозрачное (4 мм)"/>
    <s v="&lt;1%"/>
    <x v="2"/>
    <n v="80"/>
    <s v="Samsung LM281B+ 336 шт"/>
    <s v="58мА"/>
    <x v="1"/>
    <s v="Литой экструдированный алюминиевый анодированный профиль"/>
    <s v="Поворотный кронштейн с хомутом на трубу до 50.8мм"/>
    <x v="40"/>
    <n v="0.1"/>
    <x v="7"/>
    <x v="3"/>
    <s v="100 000 ч"/>
  </r>
  <r>
    <x v="166"/>
    <x v="48"/>
    <x v="9"/>
    <n v="171"/>
    <s v="SB-00015710"/>
    <s v="Д, 120"/>
    <x v="1"/>
    <x v="2"/>
    <x v="2"/>
    <s v="≥0,95"/>
    <s v="Аргос/Трион с защитой от 380В или иной по запросу"/>
    <s v="II"/>
    <s v="Стекло закаленное силикатное прозрачное (4 мм)"/>
    <s v="&lt;1%"/>
    <x v="2"/>
    <n v="80"/>
    <s v="Samsung LM281B+ 528 шт"/>
    <s v="58мА"/>
    <x v="1"/>
    <s v="Литой экструдированный алюминиевый анодированный профиль"/>
    <s v="Поворотный кронштейн"/>
    <x v="41"/>
    <n v="0.1"/>
    <x v="8"/>
    <x v="3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67"/>
    <x v="49"/>
    <x v="6"/>
    <n v="158"/>
    <s v="SB-00009116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84 шт"/>
    <s v="117мА"/>
    <x v="2"/>
    <s v="Литой экструдированный алюминиевый анодированный профиль. Рамка сталь с порошковой окраской."/>
    <s v="Рамка для встраивания в потолок на АЗС. Рамка изготавливается в размер под заказ."/>
    <x v="42"/>
    <n v="5.3949999999999996E-3"/>
    <x v="9"/>
    <x v="4"/>
    <s v="100 000 ч"/>
  </r>
  <r>
    <x v="168"/>
    <x v="50"/>
    <x v="9"/>
    <n v="158"/>
    <s v="SB-00009117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x84 шт"/>
    <s v="117мА"/>
    <x v="2"/>
    <s v="Литой экструдированный алюминиевый анодированный профиль. Рамка сталь с порошковой окраской."/>
    <s v="Рамка для встраивания в потолок на АЗС. Рамка изготавливается в размер под заказ."/>
    <x v="42"/>
    <n v="5.3949999999999996E-3"/>
    <x v="10"/>
    <x v="4"/>
    <s v="100 000 ч"/>
  </r>
  <r>
    <x v="169"/>
    <x v="0"/>
    <x v="0"/>
    <e v="#DIV/0!"/>
    <m/>
    <m/>
    <x v="0"/>
    <x v="0"/>
    <x v="0"/>
    <m/>
    <m/>
    <m/>
    <m/>
    <m/>
    <x v="0"/>
    <m/>
    <m/>
    <m/>
    <x v="0"/>
    <m/>
    <m/>
    <x v="0"/>
    <m/>
    <x v="11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70"/>
    <x v="51"/>
    <x v="38"/>
    <n v="110"/>
    <s v="SB-00009365"/>
    <s v="Д, 90"/>
    <x v="3"/>
    <x v="4"/>
    <x v="2"/>
    <s v="&gt;0,95"/>
    <s v="Трион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3"/>
    <n v="1.4760000000000001E-2"/>
    <x v="11"/>
    <x v="5"/>
    <s v="30 000 ч"/>
  </r>
  <r>
    <x v="171"/>
    <x v="51"/>
    <x v="38"/>
    <n v="110"/>
    <s v="SB-00009724"/>
    <s v="Д, 90"/>
    <x v="3"/>
    <x v="4"/>
    <x v="2"/>
    <s v="&gt;0,95"/>
    <s v="Трион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4"/>
    <n v="1.4760000000000001E-2"/>
    <x v="12"/>
    <x v="5"/>
    <s v="30 000 ч"/>
  </r>
  <r>
    <x v="172"/>
    <x v="52"/>
    <x v="39"/>
    <n v="100"/>
    <s v="SB-00004364"/>
    <s v="Д, 120"/>
    <x v="4"/>
    <x v="4"/>
    <x v="2"/>
    <s v="≥0,95"/>
    <s v="Трион"/>
    <s v="I"/>
    <s v="Призматический полистирол**"/>
    <s v="&lt;1%"/>
    <x v="2"/>
    <n v="80"/>
    <s v="Edison 0,5W 48шт"/>
    <s v="175mA"/>
    <x v="3"/>
    <s v="Гнутая листовая сталь с порошковой окраской"/>
    <s v="Накладное/встраиваемое в потолок армстронг"/>
    <x v="45"/>
    <n v="2.3064000000000001E-2"/>
    <x v="13"/>
    <x v="6"/>
    <s v="100 000 ч"/>
  </r>
  <r>
    <x v="173"/>
    <x v="53"/>
    <x v="35"/>
    <n v="105"/>
    <s v="SB-00011276"/>
    <s v="Д, 120"/>
    <x v="5"/>
    <x v="4"/>
    <x v="2"/>
    <s v="&gt;0,95"/>
    <s v="Трион (аварийный режим: 2 часа, 10% яркости)"/>
    <s v="I"/>
    <s v="Матовый"/>
    <s v="&lt;1%"/>
    <x v="2"/>
    <n v="80"/>
    <s v="Samsung LM281B+ 90шт"/>
    <s v="117мА"/>
    <x v="1"/>
    <s v="Поликарбонат"/>
    <s v="Накладное/подвесное"/>
    <x v="46"/>
    <n v="1.2999999999999999E-2"/>
    <x v="12"/>
    <x v="6"/>
    <s v="100 000 ч"/>
  </r>
  <r>
    <x v="174"/>
    <x v="54"/>
    <x v="32"/>
    <n v="107"/>
    <s v="SB-00017484"/>
    <m/>
    <x v="6"/>
    <x v="5"/>
    <x v="3"/>
    <s v="&gt;0,95"/>
    <s v="Постоянно включена. Аварийный режим работы: 1 час, 50% яркости. "/>
    <s v="I"/>
    <s v="Прозрачный полистирол"/>
    <s v="&lt;1%"/>
    <x v="1"/>
    <n v="80"/>
    <s v="Samsung"/>
    <m/>
    <x v="3"/>
    <s v="Поликарбонат"/>
    <s v="Накладное (на стену)"/>
    <x v="47"/>
    <n v="1.4500000000000001E-2"/>
    <x v="11"/>
    <x v="6"/>
    <s v="100 000 ч"/>
  </r>
  <r>
    <x v="175"/>
    <x v="54"/>
    <x v="32"/>
    <n v="107"/>
    <s v="SB-00017485"/>
    <m/>
    <x v="6"/>
    <x v="5"/>
    <x v="3"/>
    <s v="&gt;0,95"/>
    <s v="Постоянно включена. Аварийный режим работы: 3 часа, 50% яркости. "/>
    <s v="I"/>
    <s v="Прозрачный полистирол"/>
    <s v="&lt;1%"/>
    <x v="1"/>
    <n v="80"/>
    <s v="Samsung"/>
    <m/>
    <x v="3"/>
    <s v="Поликарбонат"/>
    <s v="Накладное (на стену)"/>
    <x v="47"/>
    <n v="1.4500000000000001E-2"/>
    <x v="11"/>
    <x v="6"/>
    <s v="100 000 ч"/>
  </r>
  <r>
    <x v="176"/>
    <x v="55"/>
    <x v="32"/>
    <n v="100"/>
    <s v="SB-00011318"/>
    <m/>
    <x v="6"/>
    <x v="5"/>
    <x v="3"/>
    <s v="&gt;0,95"/>
    <s v="Постоянно включена. Аварийный режим работы: 1 час, 50% яркости. "/>
    <s v="I"/>
    <s v="Матовый"/>
    <s v="&lt;1%"/>
    <x v="1"/>
    <n v="80"/>
    <s v="Samsung LM281B+ 26шт"/>
    <s v="60мА"/>
    <x v="3"/>
    <s v="Поликарбонат"/>
    <s v="Накладное (на потолок)"/>
    <x v="48"/>
    <n v="0.01"/>
    <x v="11"/>
    <x v="6"/>
    <s v="100 000 ч"/>
  </r>
  <r>
    <x v="177"/>
    <x v="56"/>
    <x v="40"/>
    <n v="100"/>
    <s v="SB-00018282"/>
    <m/>
    <x v="6"/>
    <x v="5"/>
    <x v="3"/>
    <s v="&gt;0,95"/>
    <s v="Постоянно включена. Аварийный режим работы: 3 часа, 50% яркости. "/>
    <s v="I"/>
    <s v="Прозрачный полистирол"/>
    <s v="&lt;1%"/>
    <x v="1"/>
    <n v="80"/>
    <s v="Samsung"/>
    <m/>
    <x v="3"/>
    <s v="Поликарбонат"/>
    <s v="Подвесное/накладное (на L-образные крючки-шурупы)"/>
    <x v="49"/>
    <n v="0.01"/>
    <x v="14"/>
    <x v="6"/>
    <s v="100 000 ч"/>
  </r>
  <r>
    <x v="178"/>
    <x v="54"/>
    <x v="32"/>
    <n v="107"/>
    <s v="SB-00018335"/>
    <m/>
    <x v="5"/>
    <x v="5"/>
    <x v="3"/>
    <s v="&gt;0,95"/>
    <s v="Постоянно включена. Аварийный режим работы: 1 час, 50% яркости. "/>
    <s v="I"/>
    <s v="Прозрачный полистирол"/>
    <s v="&lt;1%"/>
    <x v="1"/>
    <n v="80"/>
    <s v="Samsung"/>
    <m/>
    <x v="3"/>
    <s v="Поликарбонат"/>
    <s v="Накладное (на стену)"/>
    <x v="47"/>
    <n v="1.4500000000000001E-2"/>
    <x v="11"/>
    <x v="6"/>
    <s v="100 000 ч"/>
  </r>
  <r>
    <x v="179"/>
    <x v="54"/>
    <x v="32"/>
    <n v="107"/>
    <s v="SB-00018336"/>
    <m/>
    <x v="5"/>
    <x v="5"/>
    <x v="3"/>
    <s v="&gt;0,95"/>
    <s v="Постоянно включена. Аварийный режим работы: 3 часа, 50% яркости. "/>
    <s v="I"/>
    <s v="Прозрачный полистирол"/>
    <s v="&lt;1%"/>
    <x v="1"/>
    <n v="80"/>
    <s v="Samsung"/>
    <m/>
    <x v="3"/>
    <s v="Поликарбонат"/>
    <s v="Накладное (на стену)"/>
    <x v="47"/>
    <n v="1.4500000000000001E-2"/>
    <x v="11"/>
    <x v="6"/>
    <s v="100 000 ч"/>
  </r>
  <r>
    <x v="180"/>
    <x v="57"/>
    <x v="33"/>
    <n v="107"/>
    <s v="SB-00018549"/>
    <m/>
    <x v="5"/>
    <x v="5"/>
    <x v="3"/>
    <s v="&gt;0,95"/>
    <s v="Постоянно включена. Аварийный режим работы: 3 часа, 50% яркости. "/>
    <s v="I"/>
    <s v="Прозрачный полистирол"/>
    <s v="&lt;1%"/>
    <x v="1"/>
    <n v="80"/>
    <s v="Samsung"/>
    <m/>
    <x v="3"/>
    <s v="Поликарбонат"/>
    <s v="Накладное (на стену)"/>
    <x v="47"/>
    <n v="1.4500000000000001E-2"/>
    <x v="11"/>
    <x v="6"/>
    <s v="100 000 ч"/>
  </r>
  <r>
    <x v="181"/>
    <x v="0"/>
    <x v="0"/>
    <m/>
    <s v="SB-00015011"/>
    <m/>
    <x v="0"/>
    <x v="0"/>
    <x v="0"/>
    <m/>
    <m/>
    <m/>
    <m/>
    <m/>
    <x v="0"/>
    <m/>
    <m/>
    <m/>
    <x v="0"/>
    <m/>
    <m/>
    <x v="50"/>
    <m/>
    <x v="0"/>
    <x v="0"/>
    <m/>
  </r>
  <r>
    <x v="182"/>
    <x v="0"/>
    <x v="0"/>
    <m/>
    <s v="SB-00015012"/>
    <m/>
    <x v="0"/>
    <x v="0"/>
    <x v="0"/>
    <m/>
    <m/>
    <m/>
    <m/>
    <m/>
    <x v="0"/>
    <m/>
    <m/>
    <m/>
    <x v="0"/>
    <m/>
    <m/>
    <x v="50"/>
    <m/>
    <x v="0"/>
    <x v="0"/>
    <m/>
  </r>
  <r>
    <x v="183"/>
    <x v="0"/>
    <x v="0"/>
    <m/>
    <s v="SB-00015013"/>
    <m/>
    <x v="0"/>
    <x v="0"/>
    <x v="0"/>
    <m/>
    <m/>
    <m/>
    <m/>
    <m/>
    <x v="0"/>
    <m/>
    <m/>
    <m/>
    <x v="0"/>
    <m/>
    <m/>
    <x v="50"/>
    <m/>
    <x v="0"/>
    <x v="0"/>
    <m/>
  </r>
  <r>
    <x v="184"/>
    <x v="0"/>
    <x v="0"/>
    <m/>
    <s v="SB-00015014"/>
    <m/>
    <x v="0"/>
    <x v="0"/>
    <x v="0"/>
    <m/>
    <m/>
    <m/>
    <m/>
    <m/>
    <x v="0"/>
    <m/>
    <m/>
    <m/>
    <x v="0"/>
    <m/>
    <m/>
    <x v="50"/>
    <m/>
    <x v="0"/>
    <x v="0"/>
    <m/>
  </r>
  <r>
    <x v="185"/>
    <x v="0"/>
    <x v="0"/>
    <m/>
    <s v="SB-00015015"/>
    <m/>
    <x v="0"/>
    <x v="0"/>
    <x v="0"/>
    <m/>
    <m/>
    <m/>
    <m/>
    <m/>
    <x v="0"/>
    <m/>
    <m/>
    <m/>
    <x v="0"/>
    <m/>
    <m/>
    <x v="50"/>
    <m/>
    <x v="0"/>
    <x v="0"/>
    <m/>
  </r>
  <r>
    <x v="186"/>
    <x v="0"/>
    <x v="0"/>
    <m/>
    <s v="SB-00015016"/>
    <m/>
    <x v="0"/>
    <x v="0"/>
    <x v="0"/>
    <m/>
    <m/>
    <m/>
    <m/>
    <m/>
    <x v="0"/>
    <m/>
    <m/>
    <m/>
    <x v="0"/>
    <m/>
    <m/>
    <x v="50"/>
    <m/>
    <x v="0"/>
    <x v="0"/>
    <m/>
  </r>
  <r>
    <x v="187"/>
    <x v="0"/>
    <x v="0"/>
    <m/>
    <s v="SB-00015017"/>
    <m/>
    <x v="0"/>
    <x v="0"/>
    <x v="0"/>
    <m/>
    <m/>
    <m/>
    <m/>
    <m/>
    <x v="0"/>
    <m/>
    <m/>
    <m/>
    <x v="0"/>
    <m/>
    <m/>
    <x v="50"/>
    <m/>
    <x v="0"/>
    <x v="0"/>
    <m/>
  </r>
  <r>
    <x v="188"/>
    <x v="0"/>
    <x v="0"/>
    <m/>
    <s v="SB-00015018"/>
    <m/>
    <x v="0"/>
    <x v="0"/>
    <x v="0"/>
    <m/>
    <m/>
    <m/>
    <m/>
    <m/>
    <x v="0"/>
    <m/>
    <m/>
    <m/>
    <x v="0"/>
    <m/>
    <m/>
    <x v="50"/>
    <m/>
    <x v="0"/>
    <x v="0"/>
    <m/>
  </r>
  <r>
    <x v="189"/>
    <x v="0"/>
    <x v="0"/>
    <m/>
    <s v="SB-00015019"/>
    <m/>
    <x v="0"/>
    <x v="0"/>
    <x v="0"/>
    <m/>
    <m/>
    <m/>
    <m/>
    <m/>
    <x v="0"/>
    <m/>
    <m/>
    <m/>
    <x v="0"/>
    <m/>
    <m/>
    <x v="50"/>
    <m/>
    <x v="0"/>
    <x v="0"/>
    <m/>
  </r>
  <r>
    <x v="190"/>
    <x v="0"/>
    <x v="0"/>
    <m/>
    <s v="SB-00015020"/>
    <m/>
    <x v="0"/>
    <x v="0"/>
    <x v="0"/>
    <m/>
    <m/>
    <m/>
    <m/>
    <m/>
    <x v="0"/>
    <m/>
    <m/>
    <m/>
    <x v="0"/>
    <m/>
    <m/>
    <x v="50"/>
    <m/>
    <x v="0"/>
    <x v="0"/>
    <m/>
  </r>
  <r>
    <x v="191"/>
    <x v="0"/>
    <x v="0"/>
    <m/>
    <s v="SB-00015021"/>
    <m/>
    <x v="0"/>
    <x v="0"/>
    <x v="0"/>
    <m/>
    <m/>
    <m/>
    <m/>
    <m/>
    <x v="0"/>
    <m/>
    <m/>
    <m/>
    <x v="0"/>
    <m/>
    <m/>
    <x v="50"/>
    <m/>
    <x v="0"/>
    <x v="0"/>
    <m/>
  </r>
  <r>
    <x v="192"/>
    <x v="0"/>
    <x v="0"/>
    <m/>
    <s v="SB-00015022"/>
    <m/>
    <x v="0"/>
    <x v="0"/>
    <x v="0"/>
    <m/>
    <m/>
    <m/>
    <m/>
    <m/>
    <x v="0"/>
    <m/>
    <m/>
    <m/>
    <x v="0"/>
    <m/>
    <m/>
    <x v="50"/>
    <m/>
    <x v="0"/>
    <x v="0"/>
    <m/>
  </r>
  <r>
    <x v="193"/>
    <x v="58"/>
    <x v="39"/>
    <n v="113"/>
    <s v="SB-00004429"/>
    <s v="Д, 120"/>
    <x v="5"/>
    <x v="4"/>
    <x v="2"/>
    <s v="≥0,95"/>
    <s v="Трион"/>
    <s v="I"/>
    <s v="Прозрачный"/>
    <s v="&lt;1%"/>
    <x v="2"/>
    <n v="80"/>
    <s v="Edison 0,5W 48шт"/>
    <s v="175мА"/>
    <x v="3"/>
    <s v="Пластиковый корпус из ABS. Рассеиватель из полимерного пластика SAN."/>
    <s v="Накалдное на специальные скобы"/>
    <x v="51"/>
    <n v="1.8162375000000001E-2"/>
    <x v="15"/>
    <x v="6"/>
    <s v="100 000 ч"/>
  </r>
  <r>
    <x v="194"/>
    <x v="59"/>
    <x v="39"/>
    <n v="90"/>
    <s v="SB-00004427"/>
    <s v="Д, 120"/>
    <x v="5"/>
    <x v="4"/>
    <x v="2"/>
    <s v="≥0,95"/>
    <s v="Трион"/>
    <s v="I"/>
    <s v="Матовый"/>
    <s v="&lt;1%"/>
    <x v="2"/>
    <n v="80"/>
    <s v="Edison 0,5W 48шт"/>
    <s v="175мА"/>
    <x v="3"/>
    <s v="Пластиковый корпус из ABS. Рассеиватель из полимерного пластика SAN."/>
    <s v="Накалдное на специальные скобы"/>
    <x v="51"/>
    <n v="1.8162375000000001E-2"/>
    <x v="15"/>
    <x v="6"/>
    <s v="100 000 ч"/>
  </r>
  <r>
    <x v="195"/>
    <x v="33"/>
    <x v="41"/>
    <n v="80"/>
    <s v="SB-00017524"/>
    <s v="Д, 120"/>
    <x v="5"/>
    <x v="2"/>
    <x v="2"/>
    <s v="≥0,95"/>
    <s v="Аргос (аварийный режим: 2 часа, 10% яркости)"/>
    <s v="I"/>
    <s v="Матовый"/>
    <s v="&lt;1%"/>
    <x v="2"/>
    <n v="80"/>
    <s v="Samsung LM281B"/>
    <s v="117мА"/>
    <x v="1"/>
    <s v="Поликарбонат"/>
    <s v="Накладное/подвесное"/>
    <x v="52"/>
    <n v="5.4599999999999996E-3"/>
    <x v="16"/>
    <x v="6"/>
    <s v="100 000 ч"/>
  </r>
  <r>
    <x v="196"/>
    <x v="60"/>
    <x v="42"/>
    <n v="100"/>
    <s v="SB-00004494"/>
    <s v="Д, 120"/>
    <x v="5"/>
    <x v="4"/>
    <x v="2"/>
    <s v="≥0,95"/>
    <s v="Трион"/>
    <s v="I"/>
    <s v="Прозрачный поликарбонат"/>
    <s v="&lt;1%"/>
    <x v="2"/>
    <n v="80"/>
    <s v="Osram Duris S5 28шт"/>
    <s v="175мА"/>
    <x v="3"/>
    <s v="Литой экструдированный алюминиевый анодированный профиль"/>
    <s v="Поворотный кронштейн с хомутом на трубу до 50.8мм"/>
    <x v="53"/>
    <n v="5.4599999999999996E-3"/>
    <x v="17"/>
    <x v="6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97"/>
    <x v="61"/>
    <x v="43"/>
    <n v="140"/>
    <s v="SB-00007496"/>
    <s v="Д, 120"/>
    <x v="1"/>
    <x v="2"/>
    <x v="4"/>
    <s v="-"/>
    <s v="SVT"/>
    <s v="III"/>
    <s v="Стекло силикатное прозрачное"/>
    <s v="&lt;5%"/>
    <x v="2"/>
    <n v="80"/>
    <s v="Samsung/ Lumileds-84 шт"/>
    <s v="58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198"/>
    <x v="61"/>
    <x v="43"/>
    <n v="140"/>
    <s v="SB-00007497"/>
    <s v="Д, 120"/>
    <x v="1"/>
    <x v="2"/>
    <x v="5"/>
    <s v="-"/>
    <s v="SVT"/>
    <s v="III"/>
    <s v="Стекло силикатное прозрачное"/>
    <s v="&lt;5%"/>
    <x v="2"/>
    <n v="80"/>
    <s v="Samsung/ Lumileds-84 шт"/>
    <s v="58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199"/>
    <x v="61"/>
    <x v="43"/>
    <n v="140"/>
    <s v="SB-00007498"/>
    <s v="Д, 120"/>
    <x v="1"/>
    <x v="2"/>
    <x v="6"/>
    <s v="-"/>
    <s v="SVT"/>
    <s v="III"/>
    <s v="Стекло силикатное прозрачное"/>
    <s v="&lt;5%"/>
    <x v="2"/>
    <n v="80"/>
    <s v="Samsung/ Lumileds-84 шт"/>
    <s v="58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00"/>
    <x v="61"/>
    <x v="43"/>
    <n v="140"/>
    <s v="SB-00007499"/>
    <s v="Д, 120"/>
    <x v="1"/>
    <x v="2"/>
    <x v="7"/>
    <s v="-"/>
    <s v="SVT"/>
    <s v="III"/>
    <s v="Стекло силикатное прозрачное"/>
    <s v="&lt;5%"/>
    <x v="2"/>
    <n v="80"/>
    <s v="Samsung/ Lumileds-84 шт"/>
    <s v="58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01"/>
    <x v="61"/>
    <x v="43"/>
    <n v="140"/>
    <s v="SB-00007500"/>
    <s v="Д, 120"/>
    <x v="1"/>
    <x v="2"/>
    <x v="8"/>
    <s v="-"/>
    <s v="SVT"/>
    <s v="III"/>
    <s v="Стекло силикатное прозрачное"/>
    <s v="&lt;5%"/>
    <x v="2"/>
    <n v="80"/>
    <s v="Samsung/ Lumileds-84 шт"/>
    <s v="58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02"/>
    <x v="61"/>
    <x v="43"/>
    <n v="140"/>
    <s v="SB-00007501"/>
    <s v="Д, 120"/>
    <x v="1"/>
    <x v="2"/>
    <x v="9"/>
    <s v="-"/>
    <s v="SVT"/>
    <s v="III"/>
    <s v="Стекло силикатное прозрачное"/>
    <s v="&lt;5%"/>
    <x v="2"/>
    <n v="80"/>
    <s v="Samsung/ Lumileds-84 шт"/>
    <s v="58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03"/>
    <x v="62"/>
    <x v="34"/>
    <n v="135"/>
    <s v="SB-00007502"/>
    <s v="Д, 120"/>
    <x v="1"/>
    <x v="2"/>
    <x v="4"/>
    <s v="-"/>
    <s v="SVT"/>
    <s v="III"/>
    <s v="Стекло силикатное прозрачное"/>
    <s v="&lt;5%"/>
    <x v="2"/>
    <n v="80"/>
    <s v="Samsung/ Lumileds-84 шт"/>
    <s v="83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04"/>
    <x v="62"/>
    <x v="34"/>
    <n v="135"/>
    <s v="SB-00007503"/>
    <s v="Д, 120"/>
    <x v="1"/>
    <x v="2"/>
    <x v="5"/>
    <s v="-"/>
    <s v="SVT"/>
    <s v="III"/>
    <s v="Стекло силикатное прозрачное"/>
    <s v="&lt;5%"/>
    <x v="2"/>
    <n v="80"/>
    <s v="Samsung/ Lumileds-84 шт"/>
    <s v="83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05"/>
    <x v="62"/>
    <x v="34"/>
    <n v="135"/>
    <s v="SB-00007504"/>
    <s v="Д, 120"/>
    <x v="1"/>
    <x v="2"/>
    <x v="6"/>
    <s v="-"/>
    <s v="SVT"/>
    <s v="III"/>
    <s v="Стекло силикатное прозрачное"/>
    <s v="&lt;5%"/>
    <x v="2"/>
    <n v="80"/>
    <s v="Samsung/ Lumileds-84 шт"/>
    <s v="83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06"/>
    <x v="62"/>
    <x v="34"/>
    <n v="135"/>
    <s v="SB-00007505"/>
    <s v="Д, 120"/>
    <x v="1"/>
    <x v="2"/>
    <x v="7"/>
    <s v="-"/>
    <s v="SVT"/>
    <s v="III"/>
    <s v="Стекло силикатное прозрачное"/>
    <s v="&lt;5%"/>
    <x v="2"/>
    <n v="80"/>
    <s v="Samsung/ Lumileds-84 шт"/>
    <s v="83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07"/>
    <x v="62"/>
    <x v="34"/>
    <n v="135"/>
    <s v="SB-00007506"/>
    <s v="Д, 120"/>
    <x v="1"/>
    <x v="2"/>
    <x v="8"/>
    <s v="-"/>
    <s v="SVT"/>
    <s v="III"/>
    <s v="Стекло силикатное прозрачное"/>
    <s v="&lt;5%"/>
    <x v="2"/>
    <n v="80"/>
    <s v="Samsung/ Lumileds-84 шт"/>
    <s v="83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08"/>
    <x v="62"/>
    <x v="34"/>
    <n v="135"/>
    <s v="SB-00007507"/>
    <s v="Д, 120"/>
    <x v="1"/>
    <x v="2"/>
    <x v="9"/>
    <s v="-"/>
    <s v="SVT"/>
    <s v="III"/>
    <s v="Стекло силикатное прозрачное"/>
    <s v="&lt;5%"/>
    <x v="2"/>
    <n v="80"/>
    <s v="Samsung/ Lumileds-84 шт"/>
    <s v="83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09"/>
    <x v="63"/>
    <x v="5"/>
    <n v="130"/>
    <s v="SB-00007508"/>
    <s v="Д, 120"/>
    <x v="1"/>
    <x v="2"/>
    <x v="4"/>
    <s v="-"/>
    <s v="SVT"/>
    <s v="III"/>
    <s v="Стекло силикатное прозрачное"/>
    <s v="&lt;5%"/>
    <x v="2"/>
    <n v="80"/>
    <s v="Samsung/ Lumileds-84 шт"/>
    <s v="117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10"/>
    <x v="63"/>
    <x v="5"/>
    <n v="130"/>
    <s v="SB-00007509"/>
    <s v="Д, 120"/>
    <x v="1"/>
    <x v="2"/>
    <x v="5"/>
    <s v="-"/>
    <s v="SVT"/>
    <s v="III"/>
    <s v="Стекло силикатное прозрачное"/>
    <s v="&lt;5%"/>
    <x v="2"/>
    <n v="80"/>
    <s v="Samsung/ Lumileds-84 шт"/>
    <s v="117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11"/>
    <x v="63"/>
    <x v="5"/>
    <n v="130"/>
    <s v="SB-00007510"/>
    <s v="Д, 120"/>
    <x v="1"/>
    <x v="2"/>
    <x v="6"/>
    <s v="-"/>
    <s v="SVT"/>
    <s v="III"/>
    <s v="Стекло силикатное прозрачное"/>
    <s v="&lt;5%"/>
    <x v="2"/>
    <n v="80"/>
    <s v="Samsung/ Lumileds-84 шт"/>
    <s v="117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12"/>
    <x v="63"/>
    <x v="5"/>
    <n v="130"/>
    <s v="SB-00007511"/>
    <s v="Д, 120"/>
    <x v="1"/>
    <x v="2"/>
    <x v="7"/>
    <s v="-"/>
    <s v="SVT"/>
    <s v="III"/>
    <s v="Стекло силикатное прозрачное"/>
    <s v="&lt;5%"/>
    <x v="2"/>
    <n v="80"/>
    <s v="Samsung/ Lumileds-84 шт"/>
    <s v="117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13"/>
    <x v="63"/>
    <x v="5"/>
    <n v="130"/>
    <s v="SB-00007512"/>
    <s v="Д, 120"/>
    <x v="1"/>
    <x v="2"/>
    <x v="8"/>
    <s v="-"/>
    <s v="SVT"/>
    <s v="III"/>
    <s v="Стекло силикатное прозрачное"/>
    <s v="&lt;5%"/>
    <x v="2"/>
    <n v="80"/>
    <s v="Samsung/ Lumileds-84 шт"/>
    <s v="117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214"/>
    <x v="63"/>
    <x v="5"/>
    <n v="130"/>
    <s v="SB-00007513"/>
    <s v="Д, 120"/>
    <x v="1"/>
    <x v="2"/>
    <x v="9"/>
    <s v="-"/>
    <s v="SVT"/>
    <s v="III"/>
    <s v="Стекло силикатное прозрачное"/>
    <s v="&lt;5%"/>
    <x v="2"/>
    <n v="80"/>
    <s v="Samsung/ Lumileds-84 шт"/>
    <s v="117мА"/>
    <x v="1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215"/>
    <x v="64"/>
    <x v="44"/>
    <n v="100"/>
    <s v="SB-00011320"/>
    <s v="Д, 120"/>
    <x v="5"/>
    <x v="2"/>
    <x v="4"/>
    <s v="-"/>
    <s v="SVT"/>
    <s v="III"/>
    <s v="Матовый"/>
    <s v="&lt;5%"/>
    <x v="2"/>
    <n v="80"/>
    <s v="Samsung/ Lumileds-25 шт"/>
    <s v="50мА"/>
    <x v="1"/>
    <s v="Поликарбонат"/>
    <s v="Накладное/подвесное"/>
    <x v="55"/>
    <n v="1.2999999999999999E-2"/>
    <x v="18"/>
    <x v="2"/>
    <s v="100 000 ч"/>
  </r>
  <r>
    <x v="216"/>
    <x v="64"/>
    <x v="44"/>
    <n v="100"/>
    <s v="SB-00011321"/>
    <s v="Д, 120"/>
    <x v="5"/>
    <x v="2"/>
    <x v="5"/>
    <s v="-"/>
    <s v="SVT"/>
    <s v="III"/>
    <s v="Матовый"/>
    <s v="&lt;5%"/>
    <x v="2"/>
    <n v="80"/>
    <s v="Samsung/ Lumileds-25 шт"/>
    <s v="50мА"/>
    <x v="1"/>
    <s v="Поликарбонат"/>
    <s v="Накладное/подвесное"/>
    <x v="55"/>
    <n v="1.2999999999999999E-2"/>
    <x v="18"/>
    <x v="2"/>
    <s v="100 000 ч"/>
  </r>
  <r>
    <x v="217"/>
    <x v="64"/>
    <x v="44"/>
    <n v="100"/>
    <s v="SB-00011322"/>
    <s v="Д, 120"/>
    <x v="5"/>
    <x v="2"/>
    <x v="6"/>
    <s v="-"/>
    <s v="SVT"/>
    <s v="III"/>
    <s v="Матовый"/>
    <s v="&lt;5%"/>
    <x v="2"/>
    <n v="80"/>
    <s v="Samsung/ Lumileds-25 шт"/>
    <s v="50мА"/>
    <x v="1"/>
    <s v="Поликарбонат"/>
    <s v="Накладное/подвесное"/>
    <x v="55"/>
    <n v="1.2999999999999999E-2"/>
    <x v="18"/>
    <x v="2"/>
    <s v="100 000 ч"/>
  </r>
  <r>
    <x v="218"/>
    <x v="64"/>
    <x v="44"/>
    <n v="100"/>
    <s v="SB-00011323"/>
    <s v="Д, 120"/>
    <x v="5"/>
    <x v="2"/>
    <x v="7"/>
    <s v="-"/>
    <s v="SVT"/>
    <s v="III"/>
    <s v="Матовый"/>
    <s v="&lt;5%"/>
    <x v="2"/>
    <n v="80"/>
    <s v="Samsung/ Lumileds-25 шт"/>
    <s v="50мА"/>
    <x v="1"/>
    <s v="Поликарбонат"/>
    <s v="Накладное/подвесное"/>
    <x v="55"/>
    <n v="1.2999999999999999E-2"/>
    <x v="18"/>
    <x v="2"/>
    <s v="100 000 ч"/>
  </r>
  <r>
    <x v="219"/>
    <x v="64"/>
    <x v="44"/>
    <n v="100"/>
    <s v="SB-00011324"/>
    <s v="Д, 120"/>
    <x v="5"/>
    <x v="2"/>
    <x v="8"/>
    <s v="-"/>
    <s v="SVT"/>
    <s v="III"/>
    <s v="Матовый"/>
    <s v="&lt;5%"/>
    <x v="2"/>
    <n v="80"/>
    <s v="Samsung/ Lumileds-25 шт"/>
    <s v="50мА"/>
    <x v="1"/>
    <s v="Поликарбонат"/>
    <s v="Накладное/подвесное"/>
    <x v="55"/>
    <n v="1.2999999999999999E-2"/>
    <x v="18"/>
    <x v="2"/>
    <s v="100 000 ч"/>
  </r>
  <r>
    <x v="220"/>
    <x v="64"/>
    <x v="44"/>
    <n v="100"/>
    <s v="SB-00011325"/>
    <s v="Д, 120"/>
    <x v="5"/>
    <x v="2"/>
    <x v="9"/>
    <s v="-"/>
    <s v="SVT"/>
    <s v="III"/>
    <s v="Матовый"/>
    <s v="&lt;5%"/>
    <x v="2"/>
    <n v="80"/>
    <s v="Samsung/ Lumileds-25 шт"/>
    <s v="50мА"/>
    <x v="1"/>
    <s v="Поликарбонат"/>
    <s v="Накладное/подвесное"/>
    <x v="55"/>
    <n v="1.2999999999999999E-2"/>
    <x v="18"/>
    <x v="2"/>
    <s v="100 000 ч"/>
  </r>
  <r>
    <x v="221"/>
    <x v="65"/>
    <x v="43"/>
    <n v="100"/>
    <s v="SB-00011326"/>
    <s v="Д, 120"/>
    <x v="5"/>
    <x v="2"/>
    <x v="4"/>
    <s v="-"/>
    <s v="SVT"/>
    <s v="III"/>
    <s v="Матовый"/>
    <s v="&lt;5%"/>
    <x v="2"/>
    <n v="80"/>
    <s v="Samsung/ Lumileds-50 шт"/>
    <s v="100мА"/>
    <x v="1"/>
    <s v="Поликарбонат"/>
    <s v="Накладное/подвесное"/>
    <x v="56"/>
    <n v="1.2999999999999999E-2"/>
    <x v="16"/>
    <x v="2"/>
    <s v="100 000 ч"/>
  </r>
  <r>
    <x v="222"/>
    <x v="65"/>
    <x v="43"/>
    <n v="100"/>
    <s v="SB-00011327"/>
    <s v="Д, 120"/>
    <x v="5"/>
    <x v="2"/>
    <x v="5"/>
    <s v="-"/>
    <s v="SVT"/>
    <s v="III"/>
    <s v="Матовый"/>
    <s v="&lt;5%"/>
    <x v="2"/>
    <n v="80"/>
    <s v="Samsung/ Lumileds-50 шт"/>
    <s v="100мА"/>
    <x v="1"/>
    <s v="Поликарбонат"/>
    <s v="Накладное/подвесное"/>
    <x v="56"/>
    <n v="1.2999999999999999E-2"/>
    <x v="16"/>
    <x v="2"/>
    <s v="100 000 ч"/>
  </r>
  <r>
    <x v="223"/>
    <x v="65"/>
    <x v="43"/>
    <n v="100"/>
    <s v="SB-00011328"/>
    <s v="Д, 120"/>
    <x v="5"/>
    <x v="2"/>
    <x v="6"/>
    <s v="-"/>
    <s v="SVT"/>
    <s v="III"/>
    <s v="Матовый"/>
    <s v="&lt;5%"/>
    <x v="2"/>
    <n v="80"/>
    <s v="Samsung/ Lumileds-50 шт"/>
    <s v="100мА"/>
    <x v="1"/>
    <s v="Поликарбонат"/>
    <s v="Накладное/подвесное"/>
    <x v="56"/>
    <n v="1.2999999999999999E-2"/>
    <x v="16"/>
    <x v="2"/>
    <s v="100 000 ч"/>
  </r>
  <r>
    <x v="224"/>
    <x v="65"/>
    <x v="43"/>
    <n v="100"/>
    <s v="SB-00011329"/>
    <s v="Д, 120"/>
    <x v="5"/>
    <x v="2"/>
    <x v="7"/>
    <s v="-"/>
    <s v="SVT"/>
    <s v="III"/>
    <s v="Матовый"/>
    <s v="&lt;5%"/>
    <x v="2"/>
    <n v="80"/>
    <s v="Samsung/ Lumileds-50 шт"/>
    <s v="100мА"/>
    <x v="1"/>
    <s v="Поликарбонат"/>
    <s v="Накладное/подвесное"/>
    <x v="56"/>
    <n v="1.2999999999999999E-2"/>
    <x v="16"/>
    <x v="2"/>
    <s v="100 000 ч"/>
  </r>
  <r>
    <x v="225"/>
    <x v="65"/>
    <x v="43"/>
    <n v="100"/>
    <s v="SB-00011330"/>
    <s v="Д, 120"/>
    <x v="5"/>
    <x v="2"/>
    <x v="8"/>
    <s v="-"/>
    <s v="SVT"/>
    <s v="III"/>
    <s v="Матовый"/>
    <s v="&lt;5%"/>
    <x v="2"/>
    <n v="80"/>
    <s v="Samsung/ Lumileds-50 шт"/>
    <s v="100мА"/>
    <x v="1"/>
    <s v="Поликарбонат"/>
    <s v="Накладное/подвесное"/>
    <x v="56"/>
    <n v="1.2999999999999999E-2"/>
    <x v="16"/>
    <x v="2"/>
    <s v="100 000 ч"/>
  </r>
  <r>
    <x v="226"/>
    <x v="65"/>
    <x v="43"/>
    <n v="100"/>
    <s v="SB-00011331"/>
    <s v="Д, 120"/>
    <x v="5"/>
    <x v="2"/>
    <x v="9"/>
    <s v="-"/>
    <s v="SVT"/>
    <s v="III"/>
    <s v="Матовый"/>
    <s v="&lt;5%"/>
    <x v="2"/>
    <n v="80"/>
    <s v="Samsung/ Lumileds-50 шт"/>
    <s v="100мА"/>
    <x v="1"/>
    <s v="Поликарбонат"/>
    <s v="Накладное/подвесное"/>
    <x v="56"/>
    <n v="1.2999999999999999E-2"/>
    <x v="16"/>
    <x v="2"/>
    <s v="100 000 ч"/>
  </r>
  <r>
    <x v="227"/>
    <x v="34"/>
    <x v="34"/>
    <n v="100"/>
    <s v="SB-00011332"/>
    <s v="Д, 120"/>
    <x v="5"/>
    <x v="2"/>
    <x v="4"/>
    <s v="-"/>
    <s v="SVT"/>
    <s v="III"/>
    <s v="Матовый"/>
    <s v="&lt;5%"/>
    <x v="2"/>
    <n v="80"/>
    <s v="Samsung/ Lumileds-75 шт"/>
    <s v="100мА"/>
    <x v="1"/>
    <s v="Поликарбонат"/>
    <s v="Накладное/подвесное"/>
    <x v="57"/>
    <n v="1.2999999999999999E-2"/>
    <x v="19"/>
    <x v="2"/>
    <s v="100 000 ч"/>
  </r>
  <r>
    <x v="228"/>
    <x v="34"/>
    <x v="34"/>
    <n v="100"/>
    <s v="SB-00011333"/>
    <s v="Д, 120"/>
    <x v="5"/>
    <x v="2"/>
    <x v="5"/>
    <s v="-"/>
    <s v="SVT"/>
    <s v="III"/>
    <s v="Матовый"/>
    <s v="&lt;5%"/>
    <x v="2"/>
    <n v="80"/>
    <s v="Samsung/ Lumileds-75 шт"/>
    <s v="100мА"/>
    <x v="1"/>
    <s v="Поликарбонат"/>
    <s v="Накладное/подвесное"/>
    <x v="57"/>
    <n v="1.2999999999999999E-2"/>
    <x v="19"/>
    <x v="2"/>
    <s v="100 000 ч"/>
  </r>
  <r>
    <x v="229"/>
    <x v="34"/>
    <x v="34"/>
    <n v="100"/>
    <s v="SB-00011334"/>
    <s v="Д, 120"/>
    <x v="5"/>
    <x v="2"/>
    <x v="6"/>
    <s v="-"/>
    <s v="SVT"/>
    <s v="III"/>
    <s v="Матовый"/>
    <s v="&lt;5%"/>
    <x v="2"/>
    <n v="80"/>
    <s v="Samsung/ Lumileds-75 шт"/>
    <s v="100мА"/>
    <x v="1"/>
    <s v="Поликарбонат"/>
    <s v="Накладное/подвесное"/>
    <x v="57"/>
    <n v="1.2999999999999999E-2"/>
    <x v="19"/>
    <x v="2"/>
    <s v="100 000 ч"/>
  </r>
  <r>
    <x v="230"/>
    <x v="34"/>
    <x v="34"/>
    <n v="100"/>
    <s v="SB-00011335"/>
    <s v="Д, 120"/>
    <x v="5"/>
    <x v="2"/>
    <x v="7"/>
    <s v="-"/>
    <s v="SVT"/>
    <s v="III"/>
    <s v="Матовый"/>
    <s v="&lt;5%"/>
    <x v="2"/>
    <n v="80"/>
    <s v="Samsung/ Lumileds-75 шт"/>
    <s v="100мА"/>
    <x v="1"/>
    <s v="Поликарбонат"/>
    <s v="Накладное/подвесное"/>
    <x v="57"/>
    <n v="1.2999999999999999E-2"/>
    <x v="19"/>
    <x v="2"/>
    <s v="100 000 ч"/>
  </r>
  <r>
    <x v="231"/>
    <x v="34"/>
    <x v="34"/>
    <n v="100"/>
    <s v="SB-00011336"/>
    <s v="Д, 120"/>
    <x v="5"/>
    <x v="2"/>
    <x v="8"/>
    <s v="-"/>
    <s v="SVT"/>
    <s v="III"/>
    <s v="Матовый"/>
    <s v="&lt;5%"/>
    <x v="2"/>
    <n v="80"/>
    <s v="Samsung/ Lumileds-75 шт"/>
    <s v="100мА"/>
    <x v="1"/>
    <s v="Поликарбонат"/>
    <s v="Накладное/подвесное"/>
    <x v="57"/>
    <n v="1.2999999999999999E-2"/>
    <x v="19"/>
    <x v="2"/>
    <s v="100 000 ч"/>
  </r>
  <r>
    <x v="232"/>
    <x v="34"/>
    <x v="34"/>
    <n v="100"/>
    <s v="SB-00011337"/>
    <s v="Д, 120"/>
    <x v="5"/>
    <x v="2"/>
    <x v="9"/>
    <s v="-"/>
    <s v="SVT"/>
    <s v="III"/>
    <s v="Матовый"/>
    <s v="&lt;5%"/>
    <x v="2"/>
    <n v="80"/>
    <s v="Samsung/ Lumileds-75 шт"/>
    <s v="100мА"/>
    <x v="1"/>
    <s v="Поликарбонат"/>
    <s v="Накладное/подвесное"/>
    <x v="57"/>
    <n v="1.2999999999999999E-2"/>
    <x v="19"/>
    <x v="2"/>
    <s v="100 000 ч"/>
  </r>
  <r>
    <x v="233"/>
    <x v="66"/>
    <x v="5"/>
    <n v="100"/>
    <s v="SB-00011338"/>
    <s v="Д, 120"/>
    <x v="5"/>
    <x v="2"/>
    <x v="4"/>
    <s v="-"/>
    <s v="SVT"/>
    <s v="III"/>
    <s v="Матовый"/>
    <s v="&lt;5%"/>
    <x v="2"/>
    <n v="80"/>
    <s v="Samsung/ Lumileds-100 шт"/>
    <s v="100мА"/>
    <x v="1"/>
    <s v="Поликарбонат"/>
    <s v="Накладное/подвесное"/>
    <x v="46"/>
    <n v="1.2999999999999999E-2"/>
    <x v="12"/>
    <x v="2"/>
    <s v="100 000 ч"/>
  </r>
  <r>
    <x v="234"/>
    <x v="66"/>
    <x v="5"/>
    <n v="100"/>
    <s v="SB-00011339"/>
    <s v="Д, 120"/>
    <x v="5"/>
    <x v="2"/>
    <x v="5"/>
    <s v="-"/>
    <s v="SVT"/>
    <s v="III"/>
    <s v="Матовый"/>
    <s v="&lt;5%"/>
    <x v="2"/>
    <n v="80"/>
    <s v="Samsung/ Lumileds-100 шт"/>
    <s v="100мА"/>
    <x v="1"/>
    <s v="Поликарбонат"/>
    <s v="Накладное/подвесное"/>
    <x v="46"/>
    <n v="1.2999999999999999E-2"/>
    <x v="12"/>
    <x v="2"/>
    <s v="100 000 ч"/>
  </r>
  <r>
    <x v="235"/>
    <x v="66"/>
    <x v="5"/>
    <n v="100"/>
    <s v="SB-00011340"/>
    <s v="Д, 120"/>
    <x v="5"/>
    <x v="2"/>
    <x v="6"/>
    <s v="-"/>
    <s v="SVT"/>
    <s v="III"/>
    <s v="Матовый"/>
    <s v="&lt;5%"/>
    <x v="2"/>
    <n v="80"/>
    <s v="Samsung/ Lumileds-100 шт"/>
    <s v="100мА"/>
    <x v="1"/>
    <s v="Поликарбонат"/>
    <s v="Накладное/подвесное"/>
    <x v="46"/>
    <n v="1.2999999999999999E-2"/>
    <x v="12"/>
    <x v="2"/>
    <s v="100 000 ч"/>
  </r>
  <r>
    <x v="236"/>
    <x v="66"/>
    <x v="5"/>
    <n v="100"/>
    <s v="SB-00011341"/>
    <s v="Д, 120"/>
    <x v="5"/>
    <x v="2"/>
    <x v="7"/>
    <s v="-"/>
    <s v="SVT"/>
    <s v="III"/>
    <s v="Матовый"/>
    <s v="&lt;5%"/>
    <x v="2"/>
    <n v="80"/>
    <s v="Samsung/ Lumileds-100 шт"/>
    <s v="100мА"/>
    <x v="1"/>
    <s v="Поликарбонат"/>
    <s v="Накладное/подвесное"/>
    <x v="46"/>
    <n v="1.2999999999999999E-2"/>
    <x v="12"/>
    <x v="2"/>
    <s v="100 000 ч"/>
  </r>
  <r>
    <x v="237"/>
    <x v="66"/>
    <x v="5"/>
    <n v="100"/>
    <s v="SB-00011342"/>
    <s v="Д, 120"/>
    <x v="5"/>
    <x v="2"/>
    <x v="8"/>
    <s v="-"/>
    <s v="SVT"/>
    <s v="III"/>
    <s v="Матовый"/>
    <s v="&lt;5%"/>
    <x v="2"/>
    <n v="80"/>
    <s v="Samsung/ Lumileds-100 шт"/>
    <s v="100мА"/>
    <x v="1"/>
    <s v="Поликарбонат"/>
    <s v="Накладное/подвесное"/>
    <x v="46"/>
    <n v="1.2999999999999999E-2"/>
    <x v="12"/>
    <x v="2"/>
    <s v="100 000 ч"/>
  </r>
  <r>
    <x v="238"/>
    <x v="66"/>
    <x v="5"/>
    <n v="100"/>
    <s v="SB-00011343"/>
    <s v="Д, 120"/>
    <x v="5"/>
    <x v="2"/>
    <x v="9"/>
    <s v="-"/>
    <s v="SVT"/>
    <s v="III"/>
    <s v="Матовый"/>
    <s v="&lt;5%"/>
    <x v="2"/>
    <n v="80"/>
    <s v="Samsung/ Lumileds-100 шт"/>
    <s v="100мА"/>
    <x v="1"/>
    <s v="Поликарбонат"/>
    <s v="Накладное/подвесное"/>
    <x v="46"/>
    <n v="1.2999999999999999E-2"/>
    <x v="12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239"/>
    <x v="67"/>
    <x v="44"/>
    <n v="130"/>
    <s v="SB-00019557"/>
    <s v="Д, 120"/>
    <x v="5"/>
    <x v="2"/>
    <x v="4"/>
    <s v="-"/>
    <s v="SVT"/>
    <s v="III"/>
    <s v="Прозрачный поликарбонат "/>
    <s v="&lt;5%"/>
    <x v="2"/>
    <n v="80"/>
    <s v="Samsung/ Lumileds 2835-25 шт "/>
    <s v="50 mA"/>
    <x v="1"/>
    <s v="Литой экструдированный алюминиевый анодированный профиль"/>
    <s v="Поворотный кронштейн"/>
    <x v="58"/>
    <n v="1.0800000000000001E-2"/>
    <x v="20"/>
    <x v="2"/>
    <s v="100 000 ч"/>
  </r>
  <r>
    <x v="240"/>
    <x v="67"/>
    <x v="44"/>
    <n v="130"/>
    <s v="SB-00019535"/>
    <s v="Д, 121"/>
    <x v="5"/>
    <x v="2"/>
    <x v="5"/>
    <s v="-"/>
    <s v="SVT"/>
    <s v="III"/>
    <s v="Прозрачный поликарбонат "/>
    <s v="&lt;5%"/>
    <x v="2"/>
    <n v="80"/>
    <s v="Samsung/ Lumileds 2835-25 шт "/>
    <s v="50 mA"/>
    <x v="4"/>
    <s v="Литой экструдированный алюминиевый анодированный профиль"/>
    <s v="Поворотный кронштейн"/>
    <x v="58"/>
    <n v="1.0800000000000001E-2"/>
    <x v="20"/>
    <x v="2"/>
    <s v="100 000 ч"/>
  </r>
  <r>
    <x v="241"/>
    <x v="67"/>
    <x v="44"/>
    <n v="130"/>
    <s v="SB-00019536"/>
    <s v="Д, 122"/>
    <x v="5"/>
    <x v="2"/>
    <x v="6"/>
    <s v="-"/>
    <s v="SVT"/>
    <s v="III"/>
    <s v="Прозрачный поликарбонат "/>
    <s v="&lt;5%"/>
    <x v="2"/>
    <n v="80"/>
    <s v="Samsung/ Lumileds 2835-25 шт "/>
    <s v="50 mA"/>
    <x v="5"/>
    <s v="Литой экструдированный алюминиевый анодированный профиль"/>
    <s v="Поворотный кронштейн"/>
    <x v="58"/>
    <n v="1.0800000000000001E-2"/>
    <x v="20"/>
    <x v="2"/>
    <s v="100 000 ч"/>
  </r>
  <r>
    <x v="242"/>
    <x v="67"/>
    <x v="44"/>
    <n v="130"/>
    <s v="SB-00019537"/>
    <s v="Д, 123"/>
    <x v="5"/>
    <x v="2"/>
    <x v="7"/>
    <s v="-"/>
    <s v="SVT"/>
    <s v="III"/>
    <s v="Прозрачный поликарбонат "/>
    <s v="&lt;5%"/>
    <x v="2"/>
    <n v="80"/>
    <s v="Samsung/ Lumileds 2835-25 шт "/>
    <s v="50 mA"/>
    <x v="6"/>
    <s v="Литой экструдированный алюминиевый анодированный профиль"/>
    <s v="Поворотный кронштейн"/>
    <x v="58"/>
    <n v="1.0800000000000001E-2"/>
    <x v="20"/>
    <x v="2"/>
    <s v="100 000 ч"/>
  </r>
  <r>
    <x v="243"/>
    <x v="67"/>
    <x v="44"/>
    <n v="130"/>
    <s v="SB-00019538"/>
    <s v="Д, 124"/>
    <x v="5"/>
    <x v="2"/>
    <x v="8"/>
    <s v="-"/>
    <s v="SVT"/>
    <s v="III"/>
    <s v="Прозрачный поликарбонат "/>
    <s v="&lt;5%"/>
    <x v="2"/>
    <n v="80"/>
    <s v="Samsung/ Lumileds 2835-25 шт "/>
    <s v="50 mA"/>
    <x v="7"/>
    <s v="Литой экструдированный алюминиевый анодированный профиль"/>
    <s v="Поворотный кронштейн"/>
    <x v="58"/>
    <n v="1.0800000000000001E-2"/>
    <x v="20"/>
    <x v="2"/>
    <s v="100 000 ч"/>
  </r>
  <r>
    <x v="244"/>
    <x v="67"/>
    <x v="44"/>
    <n v="130"/>
    <s v="SB-00019539"/>
    <s v="Д, 125"/>
    <x v="5"/>
    <x v="2"/>
    <x v="9"/>
    <s v="-"/>
    <s v="SVT"/>
    <s v="III"/>
    <s v="Прозрачный поликарбонат "/>
    <s v="&lt;5%"/>
    <x v="2"/>
    <n v="80"/>
    <s v="Samsung/ Lumileds 2835-25 шт "/>
    <s v="50 mA"/>
    <x v="8"/>
    <s v="Литой экструдированный алюминиевый анодированный профиль"/>
    <s v="Поворотный кронштейн"/>
    <x v="58"/>
    <n v="1.0800000000000001E-2"/>
    <x v="20"/>
    <x v="2"/>
    <s v="100 000 ч"/>
  </r>
  <r>
    <x v="245"/>
    <x v="68"/>
    <x v="43"/>
    <n v="130"/>
    <s v="SB-00019540"/>
    <s v="Д, 126"/>
    <x v="5"/>
    <x v="2"/>
    <x v="4"/>
    <s v="-"/>
    <s v="SVT"/>
    <s v="III"/>
    <s v="Прозрачный поликарбонат "/>
    <s v="&lt;5%"/>
    <x v="2"/>
    <n v="80"/>
    <s v="Samsung/ Lumileds 2835-50 шт "/>
    <s v="100 mA"/>
    <x v="9"/>
    <s v="Литой экструдированный алюминиевый анодированный профиль"/>
    <s v="Поворотный кронштейн"/>
    <x v="59"/>
    <n v="1.0800000000000001E-2"/>
    <x v="21"/>
    <x v="2"/>
    <s v="100 000 ч"/>
  </r>
  <r>
    <x v="246"/>
    <x v="68"/>
    <x v="43"/>
    <n v="130"/>
    <s v="SB-00019541"/>
    <s v="Д, 127"/>
    <x v="5"/>
    <x v="2"/>
    <x v="5"/>
    <s v="-"/>
    <s v="SVT"/>
    <s v="III"/>
    <s v="Прозрачный поликарбонат "/>
    <s v="&lt;5%"/>
    <x v="2"/>
    <n v="80"/>
    <s v="Samsung/ Lumileds 2835-50 шт "/>
    <s v="100 mA"/>
    <x v="10"/>
    <s v="Литой экструдированный алюминиевый анодированный профиль"/>
    <s v="Поворотный кронштейн"/>
    <x v="59"/>
    <n v="1.0800000000000001E-2"/>
    <x v="21"/>
    <x v="2"/>
    <s v="100 000 ч"/>
  </r>
  <r>
    <x v="247"/>
    <x v="68"/>
    <x v="43"/>
    <n v="130"/>
    <s v="SB-00019542"/>
    <s v="Д, 128"/>
    <x v="5"/>
    <x v="2"/>
    <x v="6"/>
    <s v="-"/>
    <s v="SVT"/>
    <s v="III"/>
    <s v="Прозрачный поликарбонат "/>
    <s v="&lt;5%"/>
    <x v="2"/>
    <n v="80"/>
    <s v="Samsung/ Lumileds 2835-50 шт "/>
    <s v="100 mA"/>
    <x v="11"/>
    <s v="Литой экструдированный алюминиевый анодированный профиль"/>
    <s v="Поворотный кронштейн"/>
    <x v="59"/>
    <n v="1.0800000000000001E-2"/>
    <x v="21"/>
    <x v="2"/>
    <s v="100 000 ч"/>
  </r>
  <r>
    <x v="248"/>
    <x v="68"/>
    <x v="43"/>
    <n v="130"/>
    <s v="SB-00019543"/>
    <s v="Д, 129"/>
    <x v="5"/>
    <x v="2"/>
    <x v="7"/>
    <s v="-"/>
    <s v="SVT"/>
    <s v="III"/>
    <s v="Прозрачный поликарбонат "/>
    <s v="&lt;5%"/>
    <x v="2"/>
    <n v="80"/>
    <s v="Samsung/ Lumileds 2835-50 шт "/>
    <s v="100 mA"/>
    <x v="12"/>
    <s v="Литой экструдированный алюминиевый анодированный профиль"/>
    <s v="Поворотный кронштейн"/>
    <x v="59"/>
    <n v="1.0800000000000001E-2"/>
    <x v="21"/>
    <x v="2"/>
    <s v="100 000 ч"/>
  </r>
  <r>
    <x v="249"/>
    <x v="68"/>
    <x v="43"/>
    <n v="130"/>
    <s v="SB-00019544"/>
    <s v="Д, 130"/>
    <x v="5"/>
    <x v="2"/>
    <x v="8"/>
    <s v="-"/>
    <s v="SVT"/>
    <s v="III"/>
    <s v="Прозрачный поликарбонат "/>
    <s v="&lt;5%"/>
    <x v="2"/>
    <n v="80"/>
    <s v="Samsung/ Lumileds 2835-50 шт "/>
    <s v="100 mA"/>
    <x v="13"/>
    <s v="Литой экструдированный алюминиевый анодированный профиль"/>
    <s v="Поворотный кронштейн"/>
    <x v="59"/>
    <n v="1.0800000000000001E-2"/>
    <x v="21"/>
    <x v="2"/>
    <s v="100 000 ч"/>
  </r>
  <r>
    <x v="250"/>
    <x v="68"/>
    <x v="43"/>
    <n v="130"/>
    <s v="SB-00019545"/>
    <s v="Д, 131"/>
    <x v="5"/>
    <x v="2"/>
    <x v="9"/>
    <s v="-"/>
    <s v="SVT"/>
    <s v="III"/>
    <s v="Прозрачный поликарбонат "/>
    <s v="&lt;5%"/>
    <x v="2"/>
    <n v="80"/>
    <s v="Samsung/ Lumileds 2835-50 шт "/>
    <s v="100 mA"/>
    <x v="14"/>
    <s v="Литой экструдированный алюминиевый анодированный профиль"/>
    <s v="Поворотный кронштейн"/>
    <x v="59"/>
    <n v="1.0800000000000001E-2"/>
    <x v="21"/>
    <x v="2"/>
    <s v="100 000 ч"/>
  </r>
  <r>
    <x v="251"/>
    <x v="69"/>
    <x v="34"/>
    <n v="130"/>
    <s v="SB-00019546"/>
    <s v="Д, 132"/>
    <x v="5"/>
    <x v="2"/>
    <x v="4"/>
    <s v="-"/>
    <s v="SVT"/>
    <s v="III"/>
    <s v="Прозрачный поликарбонат "/>
    <s v="&lt;5%"/>
    <x v="2"/>
    <n v="80"/>
    <s v="Samsung/ Lumileds 2835-75 шт "/>
    <s v="100 mA"/>
    <x v="15"/>
    <s v="Литой экструдированный алюминиевый анодированный профиль"/>
    <s v="Поворотный кронштейн"/>
    <x v="60"/>
    <n v="1.0800000000000001E-2"/>
    <x v="22"/>
    <x v="2"/>
    <s v="100 000 ч"/>
  </r>
  <r>
    <x v="252"/>
    <x v="69"/>
    <x v="34"/>
    <n v="130"/>
    <s v="SB-00019547"/>
    <s v="Д, 133"/>
    <x v="5"/>
    <x v="2"/>
    <x v="5"/>
    <s v="-"/>
    <s v="SVT"/>
    <s v="III"/>
    <s v="Прозрачный поликарбонат "/>
    <s v="&lt;5%"/>
    <x v="2"/>
    <n v="80"/>
    <s v="Samsung/ Lumileds 2835-75 шт "/>
    <s v="100 mA"/>
    <x v="16"/>
    <s v="Литой экструдированный алюминиевый анодированный профиль"/>
    <s v="Поворотный кронштейн"/>
    <x v="60"/>
    <n v="1.0800000000000001E-2"/>
    <x v="22"/>
    <x v="2"/>
    <s v="100 000 ч"/>
  </r>
  <r>
    <x v="253"/>
    <x v="69"/>
    <x v="34"/>
    <n v="130"/>
    <s v="SB-00019548"/>
    <s v="Д, 134"/>
    <x v="5"/>
    <x v="2"/>
    <x v="6"/>
    <s v="-"/>
    <s v="SVT"/>
    <s v="III"/>
    <s v="Прозрачный поликарбонат "/>
    <s v="&lt;5%"/>
    <x v="2"/>
    <n v="80"/>
    <s v="Samsung/ Lumileds 2835-75 шт "/>
    <s v="100 mA"/>
    <x v="17"/>
    <s v="Литой экструдированный алюминиевый анодированный профиль"/>
    <s v="Поворотный кронштейн"/>
    <x v="60"/>
    <n v="1.0800000000000001E-2"/>
    <x v="22"/>
    <x v="2"/>
    <s v="100 000 ч"/>
  </r>
  <r>
    <x v="254"/>
    <x v="69"/>
    <x v="34"/>
    <n v="130"/>
    <s v="SB-00019549"/>
    <s v="Д, 135"/>
    <x v="5"/>
    <x v="2"/>
    <x v="7"/>
    <s v="-"/>
    <s v="SVT"/>
    <s v="III"/>
    <s v="Прозрачный поликарбонат "/>
    <s v="&lt;5%"/>
    <x v="2"/>
    <n v="80"/>
    <s v="Samsung/ Lumileds 2835-75 шт "/>
    <s v="100 mA"/>
    <x v="18"/>
    <s v="Литой экструдированный алюминиевый анодированный профиль"/>
    <s v="Поворотный кронштейн"/>
    <x v="60"/>
    <n v="1.0800000000000001E-2"/>
    <x v="22"/>
    <x v="2"/>
    <s v="100 000 ч"/>
  </r>
  <r>
    <x v="255"/>
    <x v="69"/>
    <x v="34"/>
    <n v="130"/>
    <s v="SB-00019550"/>
    <s v="Д, 136"/>
    <x v="5"/>
    <x v="2"/>
    <x v="8"/>
    <s v="-"/>
    <s v="SVT"/>
    <s v="III"/>
    <s v="Прозрачный поликарбонат "/>
    <s v="&lt;5%"/>
    <x v="2"/>
    <n v="80"/>
    <s v="Samsung/ Lumileds 2835-75 шт "/>
    <s v="100 mA"/>
    <x v="19"/>
    <s v="Литой экструдированный алюминиевый анодированный профиль"/>
    <s v="Поворотный кронштейн"/>
    <x v="60"/>
    <n v="1.0800000000000001E-2"/>
    <x v="22"/>
    <x v="2"/>
    <s v="100 000 ч"/>
  </r>
  <r>
    <x v="256"/>
    <x v="69"/>
    <x v="34"/>
    <n v="130"/>
    <s v="SB-00019551"/>
    <s v="Д, 137"/>
    <x v="5"/>
    <x v="2"/>
    <x v="9"/>
    <s v="-"/>
    <s v="SVT"/>
    <s v="III"/>
    <s v="Прозрачный поликарбонат "/>
    <s v="&lt;5%"/>
    <x v="2"/>
    <n v="80"/>
    <s v="Samsung/ Lumileds 2835-75 шт "/>
    <s v="100 mA"/>
    <x v="20"/>
    <s v="Литой экструдированный алюминиевый анодированный профиль"/>
    <s v="Поворотный кронштейн"/>
    <x v="60"/>
    <n v="1.0800000000000001E-2"/>
    <x v="22"/>
    <x v="2"/>
    <s v="100 000 ч"/>
  </r>
  <r>
    <x v="257"/>
    <x v="63"/>
    <x v="5"/>
    <n v="130"/>
    <s v="SB-00019552"/>
    <s v="Д, 138"/>
    <x v="5"/>
    <x v="2"/>
    <x v="4"/>
    <s v="-"/>
    <s v="SVT"/>
    <s v="III"/>
    <s v="Прозрачный поликарбонат "/>
    <s v="&lt;5%"/>
    <x v="2"/>
    <n v="80"/>
    <s v="Samsung/ Lumileds 2835-100 шт "/>
    <s v="100 mA"/>
    <x v="21"/>
    <s v="Литой экструдированный алюминиевый анодированный профиль"/>
    <s v="Поворотный кронштейн"/>
    <x v="61"/>
    <n v="1.0800000000000001E-2"/>
    <x v="23"/>
    <x v="2"/>
    <s v="100 000 ч"/>
  </r>
  <r>
    <x v="258"/>
    <x v="63"/>
    <x v="5"/>
    <n v="130"/>
    <s v="SB-00019553"/>
    <s v="Д, 139"/>
    <x v="5"/>
    <x v="2"/>
    <x v="5"/>
    <s v="-"/>
    <s v="SVT"/>
    <s v="III"/>
    <s v="Прозрачный поликарбонат "/>
    <s v="&lt;5%"/>
    <x v="2"/>
    <n v="80"/>
    <s v="Samsung/ Lumileds 2835-100 шт "/>
    <s v="100 mA"/>
    <x v="22"/>
    <s v="Литой экструдированный алюминиевый анодированный профиль"/>
    <s v="Поворотный кронштейн"/>
    <x v="61"/>
    <n v="1.0800000000000001E-2"/>
    <x v="23"/>
    <x v="2"/>
    <s v="100 000 ч"/>
  </r>
  <r>
    <x v="259"/>
    <x v="63"/>
    <x v="5"/>
    <n v="130"/>
    <s v="SB-00019554"/>
    <s v="Д, 140"/>
    <x v="5"/>
    <x v="2"/>
    <x v="6"/>
    <s v="-"/>
    <s v="SVT"/>
    <s v="III"/>
    <s v="Прозрачный поликарбонат "/>
    <s v="&lt;5%"/>
    <x v="2"/>
    <n v="80"/>
    <s v="Samsung/ Lumileds 2835-100 шт "/>
    <s v="100 mA"/>
    <x v="23"/>
    <s v="Литой экструдированный алюминиевый анодированный профиль"/>
    <s v="Поворотный кронштейн"/>
    <x v="61"/>
    <n v="1.0800000000000001E-2"/>
    <x v="23"/>
    <x v="2"/>
    <s v="100 000 ч"/>
  </r>
  <r>
    <x v="260"/>
    <x v="63"/>
    <x v="5"/>
    <n v="130"/>
    <s v="SB-00019555"/>
    <s v="Д, 141"/>
    <x v="5"/>
    <x v="2"/>
    <x v="7"/>
    <s v="-"/>
    <s v="SVT"/>
    <s v="III"/>
    <s v="Прозрачный поликарбонат "/>
    <s v="&lt;5%"/>
    <x v="2"/>
    <n v="80"/>
    <s v="Samsung/ Lumileds 2835-100 шт "/>
    <s v="100 mA"/>
    <x v="24"/>
    <s v="Литой экструдированный алюминиевый анодированный профиль"/>
    <s v="Поворотный кронштейн"/>
    <x v="61"/>
    <n v="1.0800000000000001E-2"/>
    <x v="23"/>
    <x v="2"/>
    <s v="100 000 ч"/>
  </r>
  <r>
    <x v="261"/>
    <x v="63"/>
    <x v="5"/>
    <n v="130"/>
    <s v="SB-00019556"/>
    <s v="Д, 142"/>
    <x v="5"/>
    <x v="2"/>
    <x v="8"/>
    <s v="-"/>
    <s v="SVT"/>
    <s v="III"/>
    <s v="Прозрачный поликарбонат "/>
    <s v="&lt;5%"/>
    <x v="2"/>
    <n v="80"/>
    <s v="Samsung/ Lumileds 2835-100 шт "/>
    <s v="100 mA"/>
    <x v="25"/>
    <s v="Литой экструдированный алюминиевый анодированный профиль"/>
    <s v="Поворотный кронштейн"/>
    <x v="61"/>
    <n v="1.0800000000000001E-2"/>
    <x v="23"/>
    <x v="2"/>
    <s v="100 000 ч"/>
  </r>
  <r>
    <x v="262"/>
    <x v="63"/>
    <x v="5"/>
    <n v="130"/>
    <s v="SB-00019558"/>
    <s v="Д, 143"/>
    <x v="5"/>
    <x v="2"/>
    <x v="9"/>
    <s v="-"/>
    <s v="SVT"/>
    <s v="III"/>
    <s v="Прозрачный поликарбонат "/>
    <s v="&lt;5%"/>
    <x v="2"/>
    <n v="80"/>
    <s v="Samsung/ Lumileds 2835-100 шт "/>
    <s v="100 mA"/>
    <x v="26"/>
    <s v="Литой экструдированный алюминиевый анодированный профиль"/>
    <s v="Поворотный кронштейн"/>
    <x v="61"/>
    <n v="1.0800000000000001E-2"/>
    <x v="23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263"/>
    <x v="70"/>
    <x v="20"/>
    <n v="132"/>
    <s v="SB-00012157"/>
    <s v="К, 20"/>
    <x v="1"/>
    <x v="3"/>
    <x v="2"/>
    <s v="≥0,95"/>
    <s v="Аргос/Трион с защитой от 380В или иной по запросу"/>
    <s v="I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ый кронштейн"/>
    <x v="62"/>
    <n v="0.01"/>
    <x v="5"/>
    <x v="4"/>
    <s v="100 000 ч"/>
  </r>
  <r>
    <x v="264"/>
    <x v="70"/>
    <x v="20"/>
    <n v="132"/>
    <s v="SB-00012158"/>
    <s v="К, 35"/>
    <x v="1"/>
    <x v="3"/>
    <x v="2"/>
    <s v="≥0,95"/>
    <s v="Аргос/Трион с защитой от 380В или иной по запросу"/>
    <s v="I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ый кронштейн"/>
    <x v="62"/>
    <n v="0.01"/>
    <x v="5"/>
    <x v="4"/>
    <s v="100 000 ч"/>
  </r>
  <r>
    <x v="265"/>
    <x v="70"/>
    <x v="20"/>
    <n v="132"/>
    <s v="SB-00012159"/>
    <s v="Г, 65"/>
    <x v="1"/>
    <x v="3"/>
    <x v="2"/>
    <s v="≥0,95"/>
    <s v="Аргос/Трион с защитой от 380В или иной по запросу"/>
    <s v="I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ый кронштейн"/>
    <x v="62"/>
    <n v="0.01"/>
    <x v="5"/>
    <x v="4"/>
    <s v="100 000 ч"/>
  </r>
  <r>
    <x v="266"/>
    <x v="71"/>
    <x v="21"/>
    <n v="132"/>
    <s v="SB-00012160"/>
    <s v="К, 20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3"/>
    <n v="0.01"/>
    <x v="24"/>
    <x v="2"/>
    <s v="100 000 ч"/>
  </r>
  <r>
    <x v="267"/>
    <x v="71"/>
    <x v="21"/>
    <n v="132"/>
    <s v="SB-00012161"/>
    <s v="К, 3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3"/>
    <n v="0.01"/>
    <x v="24"/>
    <x v="2"/>
    <s v="100 000 ч"/>
  </r>
  <r>
    <x v="268"/>
    <x v="71"/>
    <x v="21"/>
    <n v="132"/>
    <s v="SB-00012162"/>
    <s v="Г, 6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3"/>
    <n v="0.01"/>
    <x v="24"/>
    <x v="2"/>
    <s v="100 000 ч"/>
  </r>
  <r>
    <x v="269"/>
    <x v="72"/>
    <x v="22"/>
    <n v="137"/>
    <s v="SB-00012163"/>
    <s v="К, 20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4"/>
    <n v="0.01"/>
    <x v="25"/>
    <x v="2"/>
    <s v="100 000 ч"/>
  </r>
  <r>
    <x v="270"/>
    <x v="72"/>
    <x v="22"/>
    <n v="137"/>
    <s v="SB-00012164"/>
    <s v="К, 3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4"/>
    <n v="0.01"/>
    <x v="25"/>
    <x v="2"/>
    <s v="100 000 ч"/>
  </r>
  <r>
    <x v="271"/>
    <x v="72"/>
    <x v="22"/>
    <n v="137"/>
    <s v="SB-00012165"/>
    <s v="Г, 6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4"/>
    <n v="0.01"/>
    <x v="25"/>
    <x v="2"/>
    <s v="100 000 ч"/>
  </r>
  <r>
    <x v="272"/>
    <x v="73"/>
    <x v="24"/>
    <n v="132"/>
    <s v="SB-00012166"/>
    <s v="К, 20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273"/>
    <x v="73"/>
    <x v="24"/>
    <n v="132"/>
    <s v="SB-00012167"/>
    <s v="К, 3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274"/>
    <x v="73"/>
    <x v="24"/>
    <n v="132"/>
    <s v="SB-00012168"/>
    <s v="Г, 6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275"/>
    <x v="74"/>
    <x v="27"/>
    <n v="132"/>
    <s v="SB-00012169"/>
    <s v="К, 20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276"/>
    <x v="74"/>
    <x v="27"/>
    <n v="132"/>
    <s v="SB-00012170"/>
    <s v="К, 3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277"/>
    <x v="74"/>
    <x v="27"/>
    <n v="132"/>
    <s v="SB-00012171"/>
    <s v="Г, 6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278"/>
    <x v="75"/>
    <x v="25"/>
    <n v="137"/>
    <s v="SB-00012172"/>
    <s v="К, 20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279"/>
    <x v="75"/>
    <x v="25"/>
    <n v="137"/>
    <s v="SB-00012173"/>
    <s v="К, 3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280"/>
    <x v="75"/>
    <x v="25"/>
    <n v="137"/>
    <s v="SB-00012174"/>
    <s v="Г, 6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281"/>
    <x v="76"/>
    <x v="28"/>
    <n v="137"/>
    <s v="SB-00012175"/>
    <s v="К, 20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282"/>
    <x v="76"/>
    <x v="28"/>
    <n v="137"/>
    <s v="SB-00012176"/>
    <s v="К, 3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283"/>
    <x v="76"/>
    <x v="28"/>
    <n v="137"/>
    <s v="SB-00012177"/>
    <s v="Г, 6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284"/>
    <x v="77"/>
    <x v="31"/>
    <n v="137"/>
    <s v="SB-00012178"/>
    <s v="К, 20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285"/>
    <x v="77"/>
    <x v="31"/>
    <n v="137"/>
    <s v="SB-00012179"/>
    <s v="К, 3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286"/>
    <x v="77"/>
    <x v="31"/>
    <n v="137"/>
    <s v="SB-00012180"/>
    <s v="Г, 65"/>
    <x v="1"/>
    <x v="3"/>
    <x v="2"/>
    <s v="≥0,95"/>
    <s v="MeanWell с диммингом 0-10В/ШИМ"/>
    <s v="I"/>
    <s v="ПММА LEDiL "/>
    <s v="&lt;1%"/>
    <x v="3"/>
    <s v="90+"/>
    <s v="SEOUL/OSRAM/SAMSUNG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287"/>
    <x v="78"/>
    <x v="7"/>
    <n v="131"/>
    <s v="SB-00012181"/>
    <s v="Д, 120"/>
    <x v="1"/>
    <x v="3"/>
    <x v="2"/>
    <s v="≥0,95"/>
    <s v="Аргос/Трион с защитой от 380В, грозозащитой или иной по запросу"/>
    <s v="II"/>
    <s v="ПММА LEDiL "/>
    <s v="&lt;1%"/>
    <x v="3"/>
    <s v="90+"/>
    <s v="SEOUL/OSRAM/SAMSUNG"/>
    <s v="117мА"/>
    <x v="1"/>
    <s v="Литой экструдированный алюминиевый анодированный профиль"/>
    <s v="Поворотный кронштейн"/>
    <x v="70"/>
    <n v="0.01"/>
    <x v="5"/>
    <x v="2"/>
    <s v="100 000 ч"/>
  </r>
  <r>
    <x v="288"/>
    <x v="79"/>
    <x v="10"/>
    <n v="131"/>
    <s v="SB-00012182"/>
    <s v="Д, 120"/>
    <x v="1"/>
    <x v="3"/>
    <x v="2"/>
    <s v="≥0,95"/>
    <s v="Аргос/Трион с защитой от 380В, грозозащитой или иной по запросу"/>
    <s v="II"/>
    <s v="ПММА LEDiL "/>
    <s v="&lt;1%"/>
    <x v="3"/>
    <s v="90+"/>
    <s v="SEOUL/OSRAM/SAMSUNG"/>
    <s v="117мА"/>
    <x v="1"/>
    <s v="Литой экструдированный алюминиевый анодированный профиль"/>
    <s v="Поворотный кронштейн"/>
    <x v="71"/>
    <n v="0.01"/>
    <x v="31"/>
    <x v="2"/>
    <s v="100 000 ч"/>
  </r>
  <r>
    <x v="289"/>
    <x v="80"/>
    <x v="13"/>
    <n v="131"/>
    <s v="SB-00012183"/>
    <s v="Д, 120"/>
    <x v="1"/>
    <x v="3"/>
    <x v="2"/>
    <s v="≥0,95"/>
    <s v="Аргос/Трион с защитой от 380В, грозозащитой или иной по запросу"/>
    <s v="II"/>
    <s v="ПММА LEDiL "/>
    <s v="&lt;1%"/>
    <x v="3"/>
    <s v="90+"/>
    <s v="SEOUL/OSRAM/SAMSUNG"/>
    <s v="117мА"/>
    <x v="1"/>
    <s v="Литой экструдированный алюминиевый анодированный профиль"/>
    <s v="Поворотный кронштейн"/>
    <x v="72"/>
    <n v="0.02"/>
    <x v="32"/>
    <x v="2"/>
    <s v="100 000 ч"/>
  </r>
  <r>
    <x v="290"/>
    <x v="81"/>
    <x v="9"/>
    <n v="130"/>
    <s v="SB-00012184"/>
    <s v="Д, 120"/>
    <x v="1"/>
    <x v="3"/>
    <x v="2"/>
    <s v="≥0,95"/>
    <s v="MeanWell с диммингом 0-10В/ШИМ"/>
    <s v="I"/>
    <s v="ПММА LEDiL "/>
    <s v="&lt;1%"/>
    <x v="3"/>
    <s v="90+"/>
    <s v="SEOUL/OSRAM/SAMSUNG"/>
    <s v="117мА"/>
    <x v="1"/>
    <s v="Литой экструдированный алюминиевый анодированный профиль"/>
    <s v="Поворотный кронштейн"/>
    <x v="73"/>
    <n v="0.01"/>
    <x v="6"/>
    <x v="2"/>
    <s v="100 000 ч"/>
  </r>
  <r>
    <x v="291"/>
    <x v="82"/>
    <x v="12"/>
    <n v="130"/>
    <s v="SB-00012185"/>
    <s v="Д, 120"/>
    <x v="1"/>
    <x v="3"/>
    <x v="2"/>
    <s v="≥0,95"/>
    <s v="MeanWell с диммингом 0-10В/ШИМ"/>
    <s v="I"/>
    <s v="ПММА LEDiL "/>
    <s v="&lt;1%"/>
    <x v="3"/>
    <s v="90+"/>
    <s v="SEOUL/OSRAM/SAMSUNG"/>
    <s v="117мА"/>
    <x v="1"/>
    <s v="Литой экструдированный алюминиевый анодированный профиль"/>
    <s v="Поворотная лира"/>
    <x v="74"/>
    <n v="0.01"/>
    <x v="26"/>
    <x v="2"/>
    <s v="100 000 ч"/>
  </r>
  <r>
    <x v="292"/>
    <x v="83"/>
    <x v="15"/>
    <n v="130"/>
    <s v="SB-00012186"/>
    <s v="Д, 120"/>
    <x v="1"/>
    <x v="3"/>
    <x v="2"/>
    <s v="≥0,95"/>
    <s v="MeanWell с диммингом 0-10В/ШИМ"/>
    <s v="I"/>
    <s v="ПММА LEDiL "/>
    <s v="&lt;1%"/>
    <x v="3"/>
    <s v="90+"/>
    <s v="SEOUL/OSRAM/SAMSUNG"/>
    <s v="117мА"/>
    <x v="1"/>
    <s v="Литой экструдированный алюминиевый анодированный профиль"/>
    <s v="Поворотная лира"/>
    <x v="75"/>
    <n v="0.02"/>
    <x v="27"/>
    <x v="2"/>
    <s v="100 000 ч"/>
  </r>
  <r>
    <x v="293"/>
    <x v="84"/>
    <x v="18"/>
    <n v="130"/>
    <s v="SB-00012187"/>
    <s v="Д, 120"/>
    <x v="1"/>
    <x v="3"/>
    <x v="2"/>
    <s v="≥0,95"/>
    <s v="MeanWell с диммингом 0-10В/ШИМ"/>
    <s v="I"/>
    <s v="ПММА LEDiL "/>
    <s v="&lt;1%"/>
    <x v="3"/>
    <s v="90+"/>
    <s v="SEOUL/OSRAM/SAMSUNG"/>
    <s v="117мА"/>
    <x v="1"/>
    <s v="Литой экструдированный алюминиевый анодированный профиль"/>
    <s v="Поворотная лира"/>
    <x v="76"/>
    <n v="0.03"/>
    <x v="2"/>
    <x v="2"/>
    <s v="100 000 ч"/>
  </r>
  <r>
    <x v="294"/>
    <x v="85"/>
    <x v="45"/>
    <n v="123"/>
    <s v="SB-00012188"/>
    <s v="К, 20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3"/>
    <n v="0.01"/>
    <x v="33"/>
    <x v="2"/>
    <s v="60 000 ч"/>
  </r>
  <r>
    <x v="295"/>
    <x v="85"/>
    <x v="45"/>
    <n v="123"/>
    <s v="SB-00012189"/>
    <s v="К, 3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3"/>
    <n v="0.01"/>
    <x v="33"/>
    <x v="2"/>
    <s v="60 000 ч"/>
  </r>
  <r>
    <x v="296"/>
    <x v="85"/>
    <x v="45"/>
    <n v="123"/>
    <s v="SB-00012190"/>
    <s v="Г, 6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3"/>
    <n v="0.01"/>
    <x v="33"/>
    <x v="2"/>
    <s v="60 000 ч"/>
  </r>
  <r>
    <x v="297"/>
    <x v="86"/>
    <x v="46"/>
    <n v="126"/>
    <s v="SB-00012191"/>
    <s v="К, 20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7"/>
    <n v="0.01"/>
    <x v="6"/>
    <x v="2"/>
    <s v="60 000 ч"/>
  </r>
  <r>
    <x v="298"/>
    <x v="86"/>
    <x v="46"/>
    <n v="126"/>
    <s v="SB-00012192"/>
    <s v="К, 3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7"/>
    <n v="0.01"/>
    <x v="6"/>
    <x v="2"/>
    <s v="60 000 ч"/>
  </r>
  <r>
    <x v="299"/>
    <x v="86"/>
    <x v="46"/>
    <n v="126"/>
    <s v="SB-00012193"/>
    <s v="Г, 6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7"/>
    <n v="0.01"/>
    <x v="6"/>
    <x v="2"/>
    <s v="60 000 ч"/>
  </r>
  <r>
    <x v="300"/>
    <x v="87"/>
    <x v="47"/>
    <n v="129"/>
    <s v="SB-00012194"/>
    <s v="К, 20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8"/>
    <n v="0.01"/>
    <x v="34"/>
    <x v="2"/>
    <s v="60 000 ч"/>
  </r>
  <r>
    <x v="301"/>
    <x v="87"/>
    <x v="47"/>
    <n v="129"/>
    <s v="SB-00012195"/>
    <s v="К, 3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8"/>
    <n v="0.01"/>
    <x v="34"/>
    <x v="2"/>
    <s v="60 000 ч"/>
  </r>
  <r>
    <x v="302"/>
    <x v="87"/>
    <x v="47"/>
    <n v="129"/>
    <s v="SB-00012196"/>
    <s v="Г, 6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8"/>
    <n v="0.01"/>
    <x v="34"/>
    <x v="2"/>
    <s v="60 000 ч"/>
  </r>
  <r>
    <x v="303"/>
    <x v="88"/>
    <x v="48"/>
    <n v="126"/>
    <s v="SB-00012197"/>
    <s v="К, 20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9"/>
    <n v="0.02"/>
    <x v="26"/>
    <x v="2"/>
    <s v="60 000 ч"/>
  </r>
  <r>
    <x v="304"/>
    <x v="88"/>
    <x v="48"/>
    <n v="126"/>
    <s v="SB-00012198"/>
    <s v="К, 3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9"/>
    <n v="0.02"/>
    <x v="26"/>
    <x v="2"/>
    <s v="60 000 ч"/>
  </r>
  <r>
    <x v="305"/>
    <x v="88"/>
    <x v="48"/>
    <n v="126"/>
    <s v="SB-00012199"/>
    <s v="Г, 6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79"/>
    <n v="0.02"/>
    <x v="26"/>
    <x v="2"/>
    <s v="60 000 ч"/>
  </r>
  <r>
    <x v="306"/>
    <x v="89"/>
    <x v="49"/>
    <n v="126"/>
    <s v="SB-00012200"/>
    <s v="К, 20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0"/>
    <n v="0.03"/>
    <x v="27"/>
    <x v="2"/>
    <s v="60 000 ч"/>
  </r>
  <r>
    <x v="307"/>
    <x v="89"/>
    <x v="49"/>
    <n v="126"/>
    <s v="SB-00012201"/>
    <s v="К, 3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0"/>
    <n v="0.03"/>
    <x v="27"/>
    <x v="2"/>
    <s v="60 000 ч"/>
  </r>
  <r>
    <x v="308"/>
    <x v="89"/>
    <x v="49"/>
    <n v="126"/>
    <s v="SB-00012202"/>
    <s v="Г, 6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0"/>
    <n v="0.03"/>
    <x v="27"/>
    <x v="2"/>
    <s v="60 000 ч"/>
  </r>
  <r>
    <x v="309"/>
    <x v="90"/>
    <x v="50"/>
    <n v="129"/>
    <s v="SB-00012203"/>
    <s v="К, 20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1"/>
    <n v="0.02"/>
    <x v="28"/>
    <x v="2"/>
    <s v="60 000 ч"/>
  </r>
  <r>
    <x v="310"/>
    <x v="90"/>
    <x v="50"/>
    <n v="129"/>
    <s v="SB-00012204"/>
    <s v="К, 3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1"/>
    <n v="0.02"/>
    <x v="28"/>
    <x v="2"/>
    <s v="60 000 ч"/>
  </r>
  <r>
    <x v="311"/>
    <x v="90"/>
    <x v="50"/>
    <n v="129"/>
    <s v="SB-00012205"/>
    <s v="Г, 6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1"/>
    <n v="0.02"/>
    <x v="28"/>
    <x v="2"/>
    <s v="60 000 ч"/>
  </r>
  <r>
    <x v="312"/>
    <x v="91"/>
    <x v="51"/>
    <n v="129"/>
    <s v="SB-00012206"/>
    <s v="К, 20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2"/>
    <n v="0.03"/>
    <x v="29"/>
    <x v="2"/>
    <s v="60 000 ч"/>
  </r>
  <r>
    <x v="313"/>
    <x v="91"/>
    <x v="51"/>
    <n v="129"/>
    <s v="SB-00012207"/>
    <s v="К, 3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2"/>
    <n v="0.03"/>
    <x v="29"/>
    <x v="2"/>
    <s v="60 000 ч"/>
  </r>
  <r>
    <x v="314"/>
    <x v="91"/>
    <x v="51"/>
    <n v="129"/>
    <s v="SB-00012208"/>
    <s v="Г, 6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2"/>
    <n v="0.03"/>
    <x v="29"/>
    <x v="2"/>
    <s v="60 000 ч"/>
  </r>
  <r>
    <x v="315"/>
    <x v="92"/>
    <x v="52"/>
    <n v="129"/>
    <s v="SB-00012209"/>
    <s v="К, 20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3"/>
    <n v="0.04"/>
    <x v="30"/>
    <x v="2"/>
    <s v="60 000 ч"/>
  </r>
  <r>
    <x v="316"/>
    <x v="92"/>
    <x v="52"/>
    <n v="129"/>
    <s v="SB-00012210"/>
    <s v="К, 3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3"/>
    <n v="0.04"/>
    <x v="30"/>
    <x v="2"/>
    <s v="60 000 ч"/>
  </r>
  <r>
    <x v="317"/>
    <x v="92"/>
    <x v="52"/>
    <n v="129"/>
    <s v="SB-00012211"/>
    <s v="Г, 65"/>
    <x v="1"/>
    <x v="2"/>
    <x v="2"/>
    <s v="≥0,95"/>
    <s v="MeanWell с диммингом 0-10В/ШИМ"/>
    <s v="I"/>
    <s v="ПММА LEDiL "/>
    <s v="&lt;1%"/>
    <x v="3"/>
    <s v="90+"/>
    <s v="SEOUL/OSRAM/SAMSUNG"/>
    <s v="525мА"/>
    <x v="1"/>
    <s v="Литой экструдированный алюминиевый анодированный профиль"/>
    <s v="Поворотная лира"/>
    <x v="83"/>
    <n v="0.04"/>
    <x v="30"/>
    <x v="2"/>
    <s v="60 000 ч"/>
  </r>
  <r>
    <x v="318"/>
    <x v="93"/>
    <x v="20"/>
    <n v="141"/>
    <s v="SB-00012212"/>
    <s v="К, 20"/>
    <x v="1"/>
    <x v="3"/>
    <x v="2"/>
    <s v="≥0,95"/>
    <s v="Аргос/Трион с защитой от 380В или иной по запросу"/>
    <s v="I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ый кронштейн"/>
    <x v="62"/>
    <n v="0.01"/>
    <x v="5"/>
    <x v="4"/>
    <s v="100 000 ч"/>
  </r>
  <r>
    <x v="319"/>
    <x v="93"/>
    <x v="20"/>
    <n v="141"/>
    <s v="SB-00012213"/>
    <s v="К, 35"/>
    <x v="1"/>
    <x v="3"/>
    <x v="2"/>
    <s v="≥0,95"/>
    <s v="Аргос/Трион с защитой от 380В или иной по запросу"/>
    <s v="I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ый кронштейн"/>
    <x v="62"/>
    <n v="0.01"/>
    <x v="5"/>
    <x v="4"/>
    <s v="100 000 ч"/>
  </r>
  <r>
    <x v="320"/>
    <x v="93"/>
    <x v="20"/>
    <n v="141"/>
    <s v="SB-00012214"/>
    <s v="Г, 65"/>
    <x v="1"/>
    <x v="3"/>
    <x v="2"/>
    <s v="≥0,95"/>
    <s v="Аргос/Трион с защитой от 380В или иной по запросу"/>
    <s v="I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ый кронштейн"/>
    <x v="62"/>
    <n v="0.01"/>
    <x v="5"/>
    <x v="4"/>
    <s v="100 000 ч"/>
  </r>
  <r>
    <x v="321"/>
    <x v="94"/>
    <x v="21"/>
    <n v="141"/>
    <s v="SB-00012215"/>
    <s v="К, 20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3"/>
    <n v="0.01"/>
    <x v="24"/>
    <x v="2"/>
    <s v="100 000 ч"/>
  </r>
  <r>
    <x v="322"/>
    <x v="94"/>
    <x v="21"/>
    <n v="141"/>
    <s v="SB-00012216"/>
    <s v="К, 3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3"/>
    <n v="0.01"/>
    <x v="24"/>
    <x v="2"/>
    <s v="100 000 ч"/>
  </r>
  <r>
    <x v="323"/>
    <x v="94"/>
    <x v="21"/>
    <n v="141"/>
    <s v="SB-00012217"/>
    <s v="Г, 6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3"/>
    <n v="0.01"/>
    <x v="24"/>
    <x v="2"/>
    <s v="100 000 ч"/>
  </r>
  <r>
    <x v="324"/>
    <x v="86"/>
    <x v="22"/>
    <n v="147"/>
    <s v="SB-00012218"/>
    <s v="К, 20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4"/>
    <n v="0.01"/>
    <x v="25"/>
    <x v="2"/>
    <s v="100 000 ч"/>
  </r>
  <r>
    <x v="325"/>
    <x v="86"/>
    <x v="22"/>
    <n v="147"/>
    <s v="SB-00012219"/>
    <s v="К, 3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4"/>
    <n v="0.01"/>
    <x v="25"/>
    <x v="2"/>
    <s v="100 000 ч"/>
  </r>
  <r>
    <x v="326"/>
    <x v="86"/>
    <x v="22"/>
    <n v="147"/>
    <s v="SB-00012220"/>
    <s v="Г, 6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4"/>
    <n v="0.01"/>
    <x v="25"/>
    <x v="2"/>
    <s v="100 000 ч"/>
  </r>
  <r>
    <x v="327"/>
    <x v="95"/>
    <x v="24"/>
    <n v="141"/>
    <s v="SB-00012221"/>
    <s v="К, 20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328"/>
    <x v="95"/>
    <x v="24"/>
    <n v="141"/>
    <s v="SB-00012222"/>
    <s v="К, 3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329"/>
    <x v="95"/>
    <x v="24"/>
    <n v="141"/>
    <s v="SB-00012223"/>
    <s v="Г, 6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330"/>
    <x v="96"/>
    <x v="27"/>
    <n v="141"/>
    <s v="SB-00012224"/>
    <s v="К, 20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331"/>
    <x v="96"/>
    <x v="27"/>
    <n v="141"/>
    <s v="SB-00012225"/>
    <s v="К, 3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332"/>
    <x v="96"/>
    <x v="27"/>
    <n v="141"/>
    <s v="SB-00012226"/>
    <s v="Г, 6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333"/>
    <x v="88"/>
    <x v="25"/>
    <n v="147"/>
    <s v="SB-00012227"/>
    <s v="К, 20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334"/>
    <x v="88"/>
    <x v="25"/>
    <n v="147"/>
    <s v="SB-00012228"/>
    <s v="К, 3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335"/>
    <x v="88"/>
    <x v="25"/>
    <n v="147"/>
    <s v="SB-00012229"/>
    <s v="Г, 6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336"/>
    <x v="89"/>
    <x v="28"/>
    <n v="147"/>
    <s v="SB-00012230"/>
    <s v="К, 20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337"/>
    <x v="89"/>
    <x v="28"/>
    <n v="147"/>
    <s v="SB-00012231"/>
    <s v="К, 3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338"/>
    <x v="89"/>
    <x v="28"/>
    <n v="147"/>
    <s v="SB-00012232"/>
    <s v="Г, 6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339"/>
    <x v="91"/>
    <x v="31"/>
    <n v="147"/>
    <s v="SB-00012233"/>
    <s v="К, 20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340"/>
    <x v="91"/>
    <x v="31"/>
    <n v="147"/>
    <s v="SB-00012234"/>
    <s v="К, 3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341"/>
    <x v="91"/>
    <x v="31"/>
    <n v="147"/>
    <s v="SB-00012235"/>
    <s v="Г, 65"/>
    <x v="1"/>
    <x v="3"/>
    <x v="2"/>
    <s v="≥0,95"/>
    <s v="MeanWell с диммингом 0-10В/ШИМ"/>
    <s v="I"/>
    <s v="ПММА LEDiL "/>
    <s v="&lt;1%"/>
    <x v="3"/>
    <s v="80+"/>
    <s v="SEOUL/OSRAM/SAMSUNG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342"/>
    <x v="97"/>
    <x v="7"/>
    <n v="140"/>
    <s v="SB-00012236"/>
    <s v="Д, 120"/>
    <x v="1"/>
    <x v="3"/>
    <x v="2"/>
    <s v="≥0,95"/>
    <s v="Аргос/Трион с защитой от 380В или иной по запросу"/>
    <s v="II"/>
    <s v="ПММА LEDiL "/>
    <s v="&lt;1%"/>
    <x v="3"/>
    <s v="80+"/>
    <s v="SEOUL/OSRAM/SAMSUNG"/>
    <s v="117мА"/>
    <x v="1"/>
    <s v="Литой экструдированный алюминиевый анодированный профиль"/>
    <s v="Поворотный кронштейн"/>
    <x v="70"/>
    <n v="0.01"/>
    <x v="5"/>
    <x v="2"/>
    <s v="100 000 ч"/>
  </r>
  <r>
    <x v="343"/>
    <x v="98"/>
    <x v="10"/>
    <n v="140"/>
    <s v="SB-00012237"/>
    <s v="Д, 120"/>
    <x v="1"/>
    <x v="3"/>
    <x v="2"/>
    <s v="≥0,95"/>
    <s v="Аргос/Трион с защитой от 380В или иной по запросу"/>
    <s v="II"/>
    <s v="ПММА LEDiL "/>
    <s v="&lt;1%"/>
    <x v="3"/>
    <s v="80+"/>
    <s v="SEOUL/OSRAM/SAMSUNG"/>
    <s v="117мА"/>
    <x v="1"/>
    <s v="Литой экструдированный алюминиевый анодированный профиль"/>
    <s v="Поворотный кронштейн"/>
    <x v="71"/>
    <n v="0.01"/>
    <x v="31"/>
    <x v="2"/>
    <s v="100 000 ч"/>
  </r>
  <r>
    <x v="344"/>
    <x v="99"/>
    <x v="13"/>
    <n v="140"/>
    <s v="SB-00012238"/>
    <s v="Д, 120"/>
    <x v="1"/>
    <x v="3"/>
    <x v="2"/>
    <s v="≥0,95"/>
    <s v="Аргос/Трион с защитой от 380В или иной по запросу"/>
    <s v="II"/>
    <s v="ПММА LEDiL "/>
    <s v="&lt;1%"/>
    <x v="3"/>
    <s v="80+"/>
    <s v="SEOUL/OSRAM/SAMSUNG"/>
    <s v="117мА"/>
    <x v="1"/>
    <s v="Литой экструдированный алюминиевый анодированный профиль"/>
    <s v="Поворотный кронштейн"/>
    <x v="72"/>
    <n v="0.02"/>
    <x v="32"/>
    <x v="2"/>
    <s v="100 000 ч"/>
  </r>
  <r>
    <x v="345"/>
    <x v="100"/>
    <x v="9"/>
    <n v="139"/>
    <s v="SB-00012239"/>
    <s v="Д, 120"/>
    <x v="1"/>
    <x v="3"/>
    <x v="2"/>
    <s v="≥0,95"/>
    <s v="MeanWell с диммингом 0-10В/ШИМ"/>
    <s v="I"/>
    <s v="ПММА LEDiL "/>
    <s v="&lt;1%"/>
    <x v="3"/>
    <s v="80+"/>
    <s v="SEOUL/OSRAM/SAMSUNG"/>
    <s v="117мА"/>
    <x v="1"/>
    <s v="Литой экструдированный алюминиевый анодированный профиль"/>
    <s v="Поворотная лира"/>
    <x v="73"/>
    <n v="0.01"/>
    <x v="6"/>
    <x v="2"/>
    <s v="100 000 ч"/>
  </r>
  <r>
    <x v="346"/>
    <x v="101"/>
    <x v="12"/>
    <n v="139"/>
    <s v="SB-00012240"/>
    <s v="Д, 120"/>
    <x v="1"/>
    <x v="3"/>
    <x v="2"/>
    <s v="≥0,95"/>
    <s v="MeanWell с диммингом 0-10В/ШИМ"/>
    <s v="I"/>
    <s v="ПММА LEDiL "/>
    <s v="&lt;1%"/>
    <x v="3"/>
    <s v="80+"/>
    <s v="SEOUL/OSRAM/SAMSUNG"/>
    <s v="117мА"/>
    <x v="1"/>
    <s v="Литой экструдированный алюминиевый анодированный профиль"/>
    <s v="Поворотная лира"/>
    <x v="74"/>
    <n v="0.01"/>
    <x v="26"/>
    <x v="2"/>
    <s v="100 000 ч"/>
  </r>
  <r>
    <x v="347"/>
    <x v="102"/>
    <x v="15"/>
    <n v="139"/>
    <s v="SB-00012241"/>
    <s v="Д, 120"/>
    <x v="1"/>
    <x v="3"/>
    <x v="2"/>
    <s v="≥0,95"/>
    <s v="MeanWell с диммингом 0-10В/ШИМ"/>
    <s v="I"/>
    <s v="ПММА LEDiL "/>
    <s v="&lt;1%"/>
    <x v="3"/>
    <s v="80+"/>
    <s v="SEOUL/OSRAM/SAMSUNG"/>
    <s v="117мА"/>
    <x v="1"/>
    <s v="Литой экструдированный алюминиевый анодированный профиль"/>
    <s v="Поворотная лира"/>
    <x v="75"/>
    <n v="0.02"/>
    <x v="27"/>
    <x v="2"/>
    <s v="100 000 ч"/>
  </r>
  <r>
    <x v="348"/>
    <x v="103"/>
    <x v="18"/>
    <n v="139"/>
    <s v="SB-00012242"/>
    <s v="Д, 120"/>
    <x v="1"/>
    <x v="3"/>
    <x v="2"/>
    <s v="≥0,95"/>
    <s v="MeanWell с диммингом 0-10В/ШИМ"/>
    <s v="I"/>
    <s v="ПММА LEDiL "/>
    <s v="&lt;1%"/>
    <x v="3"/>
    <s v="80+"/>
    <s v="SEOUL/OSRAM/SAMSUNG"/>
    <s v="117мА"/>
    <x v="1"/>
    <s v="Литой экструдированный алюминиевый анодированный профиль"/>
    <s v="Поворотная лира"/>
    <x v="76"/>
    <n v="0.03"/>
    <x v="2"/>
    <x v="2"/>
    <s v="100 000 ч"/>
  </r>
  <r>
    <x v="349"/>
    <x v="104"/>
    <x v="45"/>
    <n v="132"/>
    <s v="SB-00012243"/>
    <s v="К, 20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3"/>
    <n v="0.01"/>
    <x v="33"/>
    <x v="2"/>
    <s v="60 000 ч"/>
  </r>
  <r>
    <x v="350"/>
    <x v="104"/>
    <x v="45"/>
    <n v="132"/>
    <s v="SB-00012244"/>
    <s v="К, 3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3"/>
    <n v="0.01"/>
    <x v="33"/>
    <x v="2"/>
    <s v="60 000 ч"/>
  </r>
  <r>
    <x v="351"/>
    <x v="104"/>
    <x v="45"/>
    <n v="132"/>
    <s v="SB-00012245"/>
    <s v="Г, 6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3"/>
    <n v="0.01"/>
    <x v="33"/>
    <x v="2"/>
    <s v="60 000 ч"/>
  </r>
  <r>
    <x v="352"/>
    <x v="79"/>
    <x v="46"/>
    <n v="134"/>
    <s v="SB-00012246"/>
    <s v="К, 20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7"/>
    <n v="0.01"/>
    <x v="6"/>
    <x v="2"/>
    <s v="60 000 ч"/>
  </r>
  <r>
    <x v="353"/>
    <x v="79"/>
    <x v="46"/>
    <n v="134"/>
    <s v="SB-00012247"/>
    <s v="К, 3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7"/>
    <n v="0.01"/>
    <x v="6"/>
    <x v="2"/>
    <s v="60 000 ч"/>
  </r>
  <r>
    <x v="354"/>
    <x v="79"/>
    <x v="46"/>
    <n v="134"/>
    <s v="SB-00012248"/>
    <s v="Г, 6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7"/>
    <n v="0.01"/>
    <x v="6"/>
    <x v="2"/>
    <s v="60 000 ч"/>
  </r>
  <r>
    <x v="355"/>
    <x v="105"/>
    <x v="47"/>
    <n v="138"/>
    <s v="SB-00012249"/>
    <s v="К, 20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8"/>
    <n v="0.01"/>
    <x v="34"/>
    <x v="2"/>
    <s v="60 000 ч"/>
  </r>
  <r>
    <x v="356"/>
    <x v="105"/>
    <x v="47"/>
    <n v="138"/>
    <s v="SB-00012250"/>
    <s v="К, 3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8"/>
    <n v="0.01"/>
    <x v="34"/>
    <x v="2"/>
    <s v="60 000 ч"/>
  </r>
  <r>
    <x v="357"/>
    <x v="105"/>
    <x v="47"/>
    <n v="138"/>
    <s v="SB-00012251"/>
    <s v="Г, 6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8"/>
    <n v="0.01"/>
    <x v="34"/>
    <x v="2"/>
    <s v="60 000 ч"/>
  </r>
  <r>
    <x v="358"/>
    <x v="106"/>
    <x v="48"/>
    <n v="134"/>
    <s v="SB-00012252"/>
    <s v="К, 20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9"/>
    <n v="0.02"/>
    <x v="26"/>
    <x v="2"/>
    <s v="60 000 ч"/>
  </r>
  <r>
    <x v="359"/>
    <x v="106"/>
    <x v="48"/>
    <n v="134"/>
    <s v="SB-00012253"/>
    <s v="К, 3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9"/>
    <n v="0.02"/>
    <x v="26"/>
    <x v="2"/>
    <s v="60 000 ч"/>
  </r>
  <r>
    <x v="360"/>
    <x v="106"/>
    <x v="48"/>
    <n v="134"/>
    <s v="SB-00012254"/>
    <s v="Г, 6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79"/>
    <n v="0.02"/>
    <x v="26"/>
    <x v="2"/>
    <s v="60 000 ч"/>
  </r>
  <r>
    <x v="361"/>
    <x v="107"/>
    <x v="49"/>
    <n v="134"/>
    <s v="SB-00012255"/>
    <s v="К, 20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0"/>
    <n v="0.03"/>
    <x v="27"/>
    <x v="2"/>
    <s v="60 000 ч"/>
  </r>
  <r>
    <x v="362"/>
    <x v="107"/>
    <x v="49"/>
    <n v="134"/>
    <s v="SB-00012256"/>
    <s v="К, 3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0"/>
    <n v="0.03"/>
    <x v="27"/>
    <x v="2"/>
    <s v="60 000 ч"/>
  </r>
  <r>
    <x v="363"/>
    <x v="107"/>
    <x v="49"/>
    <n v="134"/>
    <s v="SB-00012257"/>
    <s v="Г, 6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0"/>
    <n v="0.03"/>
    <x v="27"/>
    <x v="2"/>
    <s v="60 000 ч"/>
  </r>
  <r>
    <x v="364"/>
    <x v="108"/>
    <x v="50"/>
    <n v="138"/>
    <s v="SB-00012258"/>
    <s v="К, 20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1"/>
    <n v="0.02"/>
    <x v="28"/>
    <x v="2"/>
    <s v="60 000 ч"/>
  </r>
  <r>
    <x v="365"/>
    <x v="108"/>
    <x v="50"/>
    <n v="138"/>
    <s v="SB-00012259"/>
    <s v="К, 3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1"/>
    <n v="0.02"/>
    <x v="28"/>
    <x v="2"/>
    <s v="60 000 ч"/>
  </r>
  <r>
    <x v="366"/>
    <x v="108"/>
    <x v="50"/>
    <n v="138"/>
    <s v="SB-00012260"/>
    <s v="Г, 6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1"/>
    <n v="0.02"/>
    <x v="28"/>
    <x v="2"/>
    <s v="60 000 ч"/>
  </r>
  <r>
    <x v="367"/>
    <x v="109"/>
    <x v="51"/>
    <n v="138"/>
    <s v="SB-00012261"/>
    <s v="К, 20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2"/>
    <n v="0.03"/>
    <x v="29"/>
    <x v="2"/>
    <s v="60 000 ч"/>
  </r>
  <r>
    <x v="368"/>
    <x v="109"/>
    <x v="51"/>
    <n v="138"/>
    <s v="SB-00012262"/>
    <s v="К, 3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2"/>
    <n v="0.03"/>
    <x v="29"/>
    <x v="2"/>
    <s v="60 000 ч"/>
  </r>
  <r>
    <x v="369"/>
    <x v="109"/>
    <x v="51"/>
    <n v="138"/>
    <s v="SB-00012263"/>
    <s v="Г, 6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2"/>
    <n v="0.03"/>
    <x v="29"/>
    <x v="2"/>
    <s v="60 000 ч"/>
  </r>
  <r>
    <x v="370"/>
    <x v="110"/>
    <x v="52"/>
    <n v="138"/>
    <s v="SB-00012264"/>
    <s v="К, 20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3"/>
    <n v="0.04"/>
    <x v="30"/>
    <x v="2"/>
    <s v="60 000 ч"/>
  </r>
  <r>
    <x v="371"/>
    <x v="110"/>
    <x v="52"/>
    <n v="138"/>
    <s v="SB-00012265"/>
    <s v="К, 3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3"/>
    <n v="0.04"/>
    <x v="30"/>
    <x v="2"/>
    <s v="60 000 ч"/>
  </r>
  <r>
    <x v="372"/>
    <x v="110"/>
    <x v="52"/>
    <n v="138"/>
    <s v="SB-00012266"/>
    <s v="Г, 65"/>
    <x v="1"/>
    <x v="2"/>
    <x v="2"/>
    <s v="≥0,95"/>
    <s v="MeanWell с диммингом 0-10В/ШИМ"/>
    <s v="I"/>
    <s v="ПММА LEDiL "/>
    <s v="&lt;1%"/>
    <x v="3"/>
    <s v="80+"/>
    <s v="SEOUL/OSRAM/SAMSUNG"/>
    <s v="525мА"/>
    <x v="1"/>
    <s v="Литой экструдированный алюминиевый анодированный профиль"/>
    <s v="Поворотная лира"/>
    <x v="83"/>
    <n v="0.04"/>
    <x v="30"/>
    <x v="2"/>
    <s v="6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373"/>
    <x v="51"/>
    <x v="38"/>
    <n v="110"/>
    <s v="SB-00011958"/>
    <s v="Up+Down"/>
    <x v="4"/>
    <x v="2"/>
    <x v="2"/>
    <s v="&gt;0,95"/>
    <s v="Аргос/Трион или иной по запросу"/>
    <s v="I"/>
    <s v="Призма"/>
    <s v="&lt;1%"/>
    <x v="4"/>
    <n v="80"/>
    <s v="Samsung 2835"/>
    <s v="117мА"/>
    <x v="3"/>
    <s v="Сталь с порошковой покраской"/>
    <s v="Накладное "/>
    <x v="84"/>
    <n v="0.01"/>
    <x v="35"/>
    <x v="7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374"/>
    <x v="111"/>
    <x v="36"/>
    <n v="146"/>
    <s v="SB-00017411"/>
    <s v="ШБ, 157x57"/>
    <x v="1"/>
    <x v="3"/>
    <x v="1"/>
    <s v="≥0,95"/>
    <s v="MeanWell или иной по запросу"/>
    <s v="I"/>
    <s v="ПММА LEDiL + силикатное прозрачное стекло 3мм "/>
    <s v="&lt;1%"/>
    <x v="5"/>
    <n v="70"/>
    <s v="Osram Duris S8 24шт"/>
    <s v="350мА"/>
    <x v="1"/>
    <s v="Литой алюминиевый корпус с порошковой окраской сегого цвета"/>
    <s v="Регулируемая консоль на трубу до 60мм"/>
    <x v="85"/>
    <n v="0.02"/>
    <x v="36"/>
    <x v="2"/>
    <s v="100 000 ч"/>
  </r>
  <r>
    <x v="375"/>
    <x v="112"/>
    <x v="8"/>
    <n v="146"/>
    <s v="SB-00015274"/>
    <s v="ШБ, 157x57"/>
    <x v="1"/>
    <x v="3"/>
    <x v="1"/>
    <s v="≥0,95"/>
    <s v="MeanWell или иной по запросу"/>
    <s v="I"/>
    <s v="ПММА LEDiL + силикатное прозрачное стекло 3мм "/>
    <s v="&lt;1%"/>
    <x v="5"/>
    <n v="70"/>
    <s v="Osram Duris S8 24шт"/>
    <s v="525мА"/>
    <x v="1"/>
    <s v="Литой алюминиевый корпус с порошковой окраской сегого цвета"/>
    <s v="Регулируемая консоль на трубу до 60мм"/>
    <x v="85"/>
    <n v="0.02"/>
    <x v="36"/>
    <x v="2"/>
    <s v="100 000 ч"/>
  </r>
  <r>
    <x v="376"/>
    <x v="113"/>
    <x v="53"/>
    <n v="146"/>
    <s v="SB-00015277"/>
    <s v="ШБ, 157x57"/>
    <x v="1"/>
    <x v="3"/>
    <x v="1"/>
    <s v="≥0,95"/>
    <s v="MeanWell или иной по запросу"/>
    <s v="I"/>
    <s v="ПММА LEDiL + силикатное прозрачное стекло 3мм "/>
    <s v="&lt;1%"/>
    <x v="5"/>
    <n v="70"/>
    <s v="Osram Duris S8 36шт"/>
    <s v="525мА"/>
    <x v="1"/>
    <s v="Литой алюминиевый корпус с порошковой окраской сегого цвета"/>
    <s v="Регулируемая консоль на трубу до 60мм"/>
    <x v="86"/>
    <n v="0.02"/>
    <x v="37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377"/>
    <x v="114"/>
    <x v="33"/>
    <n v="130"/>
    <s v="SB-00019297"/>
    <s v="Д, 120"/>
    <x v="5"/>
    <x v="3"/>
    <x v="2"/>
    <s v="≥0,95"/>
    <s v="Аргос"/>
    <s v="I"/>
    <s v="Прозрачный поликарбонат "/>
    <s v="&lt;1%"/>
    <x v="2"/>
    <n v="80"/>
    <s v="Samsung"/>
    <s v="140mA"/>
    <x v="1"/>
    <s v="Литой экструдированный алюминиевый анодированный профиль"/>
    <s v="Поворотный кронштейн"/>
    <x v="58"/>
    <n v="1.0800000000000001E-2"/>
    <x v="20"/>
    <x v="2"/>
    <s v="100 000 ч"/>
  </r>
  <r>
    <x v="378"/>
    <x v="69"/>
    <x v="34"/>
    <n v="130"/>
    <s v="SB-00019298"/>
    <s v="Д, 120"/>
    <x v="5"/>
    <x v="3"/>
    <x v="2"/>
    <s v="≥0,95"/>
    <s v="Аргос"/>
    <s v="I"/>
    <s v="Прозрачный поликарбонат "/>
    <s v="&lt;1%"/>
    <x v="2"/>
    <n v="80"/>
    <s v="Samsung"/>
    <s v="140mA"/>
    <x v="1"/>
    <s v="Литой экструдированный алюминиевый анодированный профиль"/>
    <s v="Поворотный кронштейн"/>
    <x v="58"/>
    <n v="1.0800000000000001E-2"/>
    <x v="20"/>
    <x v="2"/>
    <s v="100 000 ч"/>
  </r>
  <r>
    <x v="379"/>
    <x v="69"/>
    <x v="5"/>
    <n v="130"/>
    <s v="SB-00019299"/>
    <s v="Д, 120"/>
    <x v="5"/>
    <x v="3"/>
    <x v="2"/>
    <s v="≥0,95"/>
    <s v="Аргос"/>
    <s v="I"/>
    <s v="Прозрачный поликарбонат "/>
    <s v="&lt;1%"/>
    <x v="2"/>
    <n v="80"/>
    <s v="Samsung"/>
    <s v="140mA"/>
    <x v="1"/>
    <s v="Литой экструдированный алюминиевый анодированный профиль"/>
    <s v="Поворотный кронштейн"/>
    <x v="59"/>
    <n v="1.0800000000000001E-2"/>
    <x v="21"/>
    <x v="2"/>
    <s v="100 000 ч"/>
  </r>
  <r>
    <x v="380"/>
    <x v="115"/>
    <x v="6"/>
    <n v="130"/>
    <s v="SB-00019300"/>
    <s v="Д, 120"/>
    <x v="5"/>
    <x v="3"/>
    <x v="2"/>
    <s v="≥0,95"/>
    <s v="Аргос"/>
    <s v="I"/>
    <s v="Прозрачный поликарбонат "/>
    <s v="&lt;1%"/>
    <x v="2"/>
    <n v="80"/>
    <s v="Samsung"/>
    <s v="140mA"/>
    <x v="1"/>
    <s v="Литой экструдированный алюминиевый анодированный профиль"/>
    <s v="Поворотный кронштейн"/>
    <x v="59"/>
    <n v="1.0800000000000001E-2"/>
    <x v="21"/>
    <x v="2"/>
    <s v="100 000 ч"/>
  </r>
  <r>
    <x v="381"/>
    <x v="35"/>
    <x v="5"/>
    <n v="135"/>
    <s v="SB-00019301"/>
    <s v="Д, 120"/>
    <x v="5"/>
    <x v="3"/>
    <x v="2"/>
    <s v="≥0,95"/>
    <s v="Аргос"/>
    <s v="I"/>
    <s v="Прозрачный поликарбонат "/>
    <s v="&lt;1%"/>
    <x v="2"/>
    <n v="80"/>
    <s v="Samsung"/>
    <s v="117mA"/>
    <x v="1"/>
    <s v="Литой экструдированный алюминиевый анодированный профиль"/>
    <s v="Поворотный кронштейн"/>
    <x v="87"/>
    <n v="1.0800000000000001E-2"/>
    <x v="38"/>
    <x v="2"/>
    <s v="100 000 ч"/>
  </r>
  <r>
    <x v="382"/>
    <x v="116"/>
    <x v="37"/>
    <n v="135"/>
    <s v="SB-00019273"/>
    <s v="Д, 120"/>
    <x v="5"/>
    <x v="3"/>
    <x v="2"/>
    <s v="≥0,95"/>
    <s v="Аргос"/>
    <s v="I"/>
    <s v="Прозрачный поликарбонат "/>
    <s v="&lt;1%"/>
    <x v="2"/>
    <n v="80"/>
    <s v="Samsung"/>
    <s v="117mA"/>
    <x v="1"/>
    <s v="Литой экструдированный алюминиевый анодированный профиль"/>
    <s v="Поворотный кронштейн"/>
    <x v="87"/>
    <n v="1.0800000000000001E-2"/>
    <x v="38"/>
    <x v="2"/>
    <s v="100 000 ч"/>
  </r>
  <r>
    <x v="383"/>
    <x v="117"/>
    <x v="35"/>
    <n v="130"/>
    <s v="SB-00019302"/>
    <s v="Д, 120"/>
    <x v="5"/>
    <x v="3"/>
    <x v="2"/>
    <s v="≥0,95"/>
    <s v="Аргос"/>
    <s v="I"/>
    <s v="Прозрачный поликарбонат "/>
    <s v="&lt;1%"/>
    <x v="2"/>
    <n v="80"/>
    <s v="Samsung"/>
    <s v="140mA"/>
    <x v="1"/>
    <s v="Литой экструдированный алюминиевый анодированный профиль"/>
    <s v="Поворотный кронштейн"/>
    <x v="60"/>
    <n v="1.0800000000000001E-2"/>
    <x v="22"/>
    <x v="2"/>
    <s v="100 000 ч"/>
  </r>
  <r>
    <x v="384"/>
    <x v="118"/>
    <x v="54"/>
    <n v="130"/>
    <s v="SB-00017579"/>
    <s v="Д, 120"/>
    <x v="5"/>
    <x v="3"/>
    <x v="2"/>
    <s v="≥0,95"/>
    <s v="Аргос"/>
    <s v="I"/>
    <s v="Прозрачный поликарбонат "/>
    <s v="&lt;1%"/>
    <x v="2"/>
    <n v="80"/>
    <s v="Samsung"/>
    <s v="140mA"/>
    <x v="1"/>
    <s v="Литой экструдированный алюминиевый анодированный профиль"/>
    <s v="Поворотный кронштейн"/>
    <x v="60"/>
    <n v="3.2399999999999998E-2"/>
    <x v="22"/>
    <x v="2"/>
    <s v="100 000 ч"/>
  </r>
  <r>
    <x v="385"/>
    <x v="115"/>
    <x v="6"/>
    <n v="130"/>
    <s v="SB-00019303"/>
    <s v="Д, 120"/>
    <x v="5"/>
    <x v="3"/>
    <x v="2"/>
    <s v="≥0,95"/>
    <s v="Аргос"/>
    <s v="I"/>
    <s v="Прозрачный поликарбонат "/>
    <s v="&lt;1%"/>
    <x v="2"/>
    <n v="80"/>
    <s v="Samsung"/>
    <s v="140mA"/>
    <x v="1"/>
    <s v="Литой экструдированный алюминиевый анодированный профиль"/>
    <s v="Поворотный кронштейн"/>
    <x v="61"/>
    <n v="1.0800000000000001E-2"/>
    <x v="23"/>
    <x v="2"/>
    <s v="100 000 ч"/>
  </r>
  <r>
    <x v="386"/>
    <x v="119"/>
    <x v="9"/>
    <n v="130"/>
    <s v="SB-00019304"/>
    <s v="Д, 120"/>
    <x v="5"/>
    <x v="3"/>
    <x v="2"/>
    <s v="≥0,95"/>
    <s v="Аргос"/>
    <s v="I"/>
    <s v="Прозрачный поликарбонат "/>
    <s v="&lt;1%"/>
    <x v="2"/>
    <n v="80"/>
    <s v="Samsung"/>
    <s v="140mA"/>
    <x v="1"/>
    <s v="Литой экструдированный алюминиевый анодированный профиль"/>
    <s v="Поворотный кронштейн"/>
    <x v="61"/>
    <n v="1.0800000000000001E-2"/>
    <x v="23"/>
    <x v="2"/>
    <s v="100 000 ч"/>
  </r>
  <r>
    <x v="387"/>
    <x v="116"/>
    <x v="37"/>
    <n v="135"/>
    <s v="SB-00019305"/>
    <s v="Д, 120"/>
    <x v="5"/>
    <x v="3"/>
    <x v="2"/>
    <s v="≥0,95"/>
    <s v="Аргос"/>
    <s v="I"/>
    <s v="Прозрачный поликарбонат "/>
    <s v="&lt;1%"/>
    <x v="2"/>
    <n v="80"/>
    <s v="Samsung"/>
    <s v="117mA"/>
    <x v="1"/>
    <s v="Литой экструдированный алюминиевый анодированный профиль"/>
    <s v="Поворотный кронштейн"/>
    <x v="88"/>
    <n v="1.0800000000000001E-2"/>
    <x v="39"/>
    <x v="2"/>
    <s v="100 000 ч"/>
  </r>
  <r>
    <x v="388"/>
    <x v="120"/>
    <x v="55"/>
    <n v="135"/>
    <s v="SB-00019306"/>
    <s v="Д, 120"/>
    <x v="5"/>
    <x v="3"/>
    <x v="2"/>
    <s v="≥0,95"/>
    <s v="Аргос"/>
    <s v="I"/>
    <s v="Прозрачный поликарбонат "/>
    <s v="&lt;1%"/>
    <x v="2"/>
    <n v="80"/>
    <s v="Samsung"/>
    <s v="117mA"/>
    <x v="1"/>
    <s v="Литой экструдированный алюминиевый анодированный профиль"/>
    <s v="Поворотный кронштейн"/>
    <x v="88"/>
    <n v="1.0800000000000001E-2"/>
    <x v="39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389"/>
    <x v="121"/>
    <x v="8"/>
    <n v="130"/>
    <s v="SB-00018304"/>
    <s v="Д, 120"/>
    <x v="5"/>
    <x v="2"/>
    <x v="1"/>
    <s v="≥0,95"/>
    <s v="MeanWell или иной по запросу"/>
    <s v="I"/>
    <s v="Стекло силикатное прозрачное (антиблик)"/>
    <s v="&lt;1%"/>
    <x v="5"/>
    <n v="80"/>
    <s v="Samsung"/>
    <m/>
    <x v="1"/>
    <s v="Алюминиевый"/>
    <s v="Подвес на трос за 1 точку"/>
    <x v="89"/>
    <m/>
    <x v="40"/>
    <x v="2"/>
    <s v="100 000 ч"/>
  </r>
  <r>
    <x v="390"/>
    <x v="122"/>
    <x v="56"/>
    <n v="130"/>
    <s v="SB-00018305"/>
    <s v="Д, 120"/>
    <x v="5"/>
    <x v="2"/>
    <x v="1"/>
    <s v="≥0,95"/>
    <s v="MeanWell или иной по запросу"/>
    <s v="I"/>
    <s v="Стекло силикатное прозрачное (антиблик)"/>
    <s v="&lt;1%"/>
    <x v="5"/>
    <n v="80"/>
    <s v="Samsung"/>
    <m/>
    <x v="1"/>
    <s v="Алюминиевый"/>
    <s v="Подвес на трос за 1 точку"/>
    <x v="90"/>
    <m/>
    <x v="41"/>
    <x v="2"/>
    <s v="100 000 ч"/>
  </r>
  <r>
    <x v="391"/>
    <x v="123"/>
    <x v="11"/>
    <n v="130"/>
    <s v="SB-00018306"/>
    <s v="Д, 120"/>
    <x v="5"/>
    <x v="2"/>
    <x v="1"/>
    <s v="≥0,95"/>
    <s v="MeanWell или иной по запросу"/>
    <s v="I"/>
    <s v="Стекло силикатное прозрачное (антиблик)"/>
    <s v="&lt;1%"/>
    <x v="5"/>
    <n v="80"/>
    <s v="Samsung"/>
    <m/>
    <x v="1"/>
    <s v="Алюминиевый"/>
    <s v="Подвес на трос за 1 точку"/>
    <x v="90"/>
    <m/>
    <x v="41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392"/>
    <x v="124"/>
    <x v="57"/>
    <n v="130"/>
    <s v="SB-00016618"/>
    <s v="М, 180"/>
    <x v="3"/>
    <x v="2"/>
    <x v="2"/>
    <s v="≥0,95"/>
    <s v="Arlight/Helvar"/>
    <s v="II"/>
    <s v="Прозрачное силикатное стекло"/>
    <s v="&lt;1%"/>
    <x v="5"/>
    <n v="80"/>
    <s v="SAMSUNG"/>
    <s v="63мА"/>
    <x v="1"/>
    <s v="Сталь с порошковой окраской"/>
    <s v="Подвесное"/>
    <x v="91"/>
    <n v="0.1"/>
    <x v="42"/>
    <x v="8"/>
    <s v="100 000 ч"/>
  </r>
  <r>
    <x v="393"/>
    <x v="125"/>
    <x v="58"/>
    <n v="126"/>
    <s v="SB-00016619"/>
    <s v="М, 180"/>
    <x v="3"/>
    <x v="2"/>
    <x v="2"/>
    <s v="≥0,95"/>
    <s v="Arlight/Helvar"/>
    <s v="II"/>
    <s v="Прозрачное силикатное стекло"/>
    <s v="&lt;1%"/>
    <x v="5"/>
    <n v="80"/>
    <s v="SAMSUNG"/>
    <s v="88мА"/>
    <x v="1"/>
    <s v="Сталь с порошковой окраской"/>
    <s v="Подвесное"/>
    <x v="91"/>
    <n v="0.1"/>
    <x v="42"/>
    <x v="8"/>
    <s v="100 000 ч"/>
  </r>
  <r>
    <x v="394"/>
    <x v="126"/>
    <x v="41"/>
    <n v="122"/>
    <s v="SB-00016620"/>
    <s v="М, 180"/>
    <x v="3"/>
    <x v="2"/>
    <x v="2"/>
    <s v="≥0,95"/>
    <s v="Arlight/Helvar"/>
    <s v="II"/>
    <s v="Прозрачное силикатное стекло"/>
    <s v="&lt;1%"/>
    <x v="5"/>
    <n v="80"/>
    <s v="SAMSUNG"/>
    <s v="113мА"/>
    <x v="1"/>
    <s v="Сталь с порошковой окраской"/>
    <s v="Подвесное"/>
    <x v="91"/>
    <n v="0.1"/>
    <x v="42"/>
    <x v="8"/>
    <s v="100 000 ч"/>
  </r>
  <r>
    <x v="395"/>
    <x v="127"/>
    <x v="59"/>
    <n v="120"/>
    <s v="SB-00016621"/>
    <s v="М, 180"/>
    <x v="3"/>
    <x v="2"/>
    <x v="2"/>
    <s v="≥0,95"/>
    <s v="Arlight/Helvar"/>
    <s v="II"/>
    <s v="Прозрачное силикатное стекло"/>
    <s v="&lt;1%"/>
    <x v="5"/>
    <n v="80"/>
    <s v="SAMSUNG"/>
    <s v="125мА"/>
    <x v="1"/>
    <s v="Сталь с порошковой окраской"/>
    <s v="Подвесное"/>
    <x v="91"/>
    <n v="0.1"/>
    <x v="42"/>
    <x v="8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396"/>
    <x v="5"/>
    <x v="60"/>
    <n v="160"/>
    <s v="SB-00008246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84 шт"/>
    <s v="117мА"/>
    <x v="2"/>
    <s v="Литой экструдированный алюминиевый анодированный профиль"/>
    <s v="Поворотный кронштейн с хомутом на трубу до 50.8мм"/>
    <x v="92"/>
    <n v="0.01"/>
    <x v="43"/>
    <x v="4"/>
    <s v="100 000 ч"/>
  </r>
  <r>
    <x v="397"/>
    <x v="6"/>
    <x v="6"/>
    <n v="164"/>
    <s v="SB-00008247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Поворотный кронштейн с хомутом на трубу до 50.8мм"/>
    <x v="93"/>
    <n v="0.01"/>
    <x v="38"/>
    <x v="4"/>
    <s v="100 000 ч"/>
  </r>
  <r>
    <x v="398"/>
    <x v="7"/>
    <x v="61"/>
    <n v="167"/>
    <s v="SB-00008233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68 шт"/>
    <s v="117мА"/>
    <x v="1"/>
    <s v="Литой экструдированный алюминиевый анодированный профиль"/>
    <s v="Поворотный кронштейн с хомутом на трубу до 50.8мм"/>
    <x v="70"/>
    <n v="0.01"/>
    <x v="5"/>
    <x v="2"/>
    <s v="100 000 ч"/>
  </r>
  <r>
    <x v="399"/>
    <x v="128"/>
    <x v="8"/>
    <n v="164"/>
    <s v="SB-00018440"/>
    <s v="Д, 120"/>
    <x v="1"/>
    <x v="3"/>
    <x v="2"/>
    <s v="≥0,95"/>
    <s v="Аргос/Трион с защитой от 380В или иной по запросу"/>
    <s v="I"/>
    <s v="Стекло силикатное прозрачное"/>
    <s v="&lt;1%"/>
    <x v="2"/>
    <n v="80"/>
    <s v="Samsung LM281B+ 216 шт"/>
    <s v="117мА"/>
    <x v="2"/>
    <s v="Литой экструдированный алюминиевый анодированный профиль"/>
    <s v="Поворотный кронштейн с хомутом на трубу до 50.8мм"/>
    <x v="73"/>
    <n v="0.01"/>
    <x v="23"/>
    <x v="9"/>
    <s v="100 000 ч"/>
  </r>
  <r>
    <x v="400"/>
    <x v="9"/>
    <x v="62"/>
    <n v="165"/>
    <s v="SB-00007886"/>
    <s v="Д, 120"/>
    <x v="1"/>
    <x v="3"/>
    <x v="2"/>
    <s v="≥0,95"/>
    <s v="Аргос/Трион с защитой от 380В или иной по запросу"/>
    <s v="I"/>
    <s v="Стекло силикатное прозрачное"/>
    <s v="&lt;1%"/>
    <x v="2"/>
    <n v="80"/>
    <s v="Samsung LM281B+ 264 шт"/>
    <s v="117мА"/>
    <x v="1"/>
    <s v="Литой экструдированный алюминиевый анодированный профиль"/>
    <s v="Поворотный кронштейн с хомутом на трубу до 50.8мм"/>
    <x v="73"/>
    <n v="0.01"/>
    <x v="6"/>
    <x v="2"/>
    <s v="100 000 ч"/>
  </r>
  <r>
    <x v="401"/>
    <x v="5"/>
    <x v="60"/>
    <n v="160"/>
    <s v="SB-00008250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84 шт"/>
    <s v="117мА"/>
    <x v="2"/>
    <s v="Литой экструдированный алюминиевый анодированный профиль"/>
    <s v="Консоль на трубу до 55мм"/>
    <x v="94"/>
    <n v="0.01"/>
    <x v="43"/>
    <x v="4"/>
    <s v="100 000 ч"/>
  </r>
  <r>
    <x v="402"/>
    <x v="6"/>
    <x v="6"/>
    <n v="164"/>
    <s v="SB-00008251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Консоль на трубу до 55мм"/>
    <x v="95"/>
    <n v="0.01"/>
    <x v="38"/>
    <x v="4"/>
    <s v="100 000 ч"/>
  </r>
  <r>
    <x v="403"/>
    <x v="7"/>
    <x v="61"/>
    <n v="167"/>
    <s v="SB-00008252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68 шт"/>
    <s v="117мА"/>
    <x v="1"/>
    <s v="Литой экструдированный алюминиевый анодированный профиль"/>
    <s v="Консоль на трубу до 55мм"/>
    <x v="96"/>
    <n v="0.01"/>
    <x v="5"/>
    <x v="2"/>
    <s v="100 000 ч"/>
  </r>
  <r>
    <x v="404"/>
    <x v="128"/>
    <x v="8"/>
    <n v="164"/>
    <s v="SB-00018439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16 шт"/>
    <s v="117мА"/>
    <x v="2"/>
    <s v="Литой экструдированный алюминиевый анодированный профиль"/>
    <s v="Консоль на трубу до 55мм"/>
    <x v="97"/>
    <n v="0.01"/>
    <x v="23"/>
    <x v="9"/>
    <s v="100 000 ч"/>
  </r>
  <r>
    <x v="405"/>
    <x v="9"/>
    <x v="62"/>
    <n v="165"/>
    <s v="SB-00008248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64 шт"/>
    <s v="117мА"/>
    <x v="1"/>
    <s v="Литой экструдированный алюминиевый анодированный профиль"/>
    <s v="Консоль на трубу до 55мм"/>
    <x v="97"/>
    <n v="0.01"/>
    <x v="6"/>
    <x v="2"/>
    <s v="100 000 ч"/>
  </r>
  <r>
    <x v="406"/>
    <x v="129"/>
    <x v="53"/>
    <n v="164"/>
    <s v="SB-00019130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64 шт"/>
    <s v="117мА"/>
    <x v="2"/>
    <s v="Литой экструдированный алюминиевый анодированный профиль"/>
    <s v="Поворотный кронштейн с хомутом на трубу до 50.8мм"/>
    <x v="98"/>
    <n v="1.2E-2"/>
    <x v="7"/>
    <x v="9"/>
    <s v="100 000 ч"/>
  </r>
  <r>
    <x v="407"/>
    <x v="129"/>
    <x v="53"/>
    <n v="164"/>
    <s v="SB-00019131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64 шт"/>
    <s v="117мА"/>
    <x v="2"/>
    <s v="Литой экструдированный алюминиевый анодированный профиль"/>
    <s v="Консоль на трубу до 55мм"/>
    <x v="99"/>
    <n v="1.2E-2"/>
    <x v="7"/>
    <x v="9"/>
    <s v="100 000 ч"/>
  </r>
  <r>
    <x v="408"/>
    <x v="130"/>
    <x v="19"/>
    <n v="161"/>
    <s v="SB-00008249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12шт"/>
    <s v="350мА"/>
    <x v="2"/>
    <s v="Литой экструдированный алюминиевый анодированный профиль"/>
    <s v="Консоль на трубу до 55мм"/>
    <x v="94"/>
    <n v="0.01"/>
    <x v="44"/>
    <x v="4"/>
    <s v="100 000 ч"/>
  </r>
  <r>
    <x v="409"/>
    <x v="130"/>
    <x v="19"/>
    <n v="161"/>
    <s v="SB-00008258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92"/>
    <n v="0.01"/>
    <x v="44"/>
    <x v="4"/>
    <s v="100 000 ч"/>
  </r>
  <r>
    <x v="410"/>
    <x v="130"/>
    <x v="19"/>
    <n v="161"/>
    <s v="SB-00008259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92"/>
    <n v="0.01"/>
    <x v="44"/>
    <x v="4"/>
    <s v="100 000 ч"/>
  </r>
  <r>
    <x v="411"/>
    <x v="130"/>
    <x v="19"/>
    <n v="161"/>
    <s v="SB-00008260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92"/>
    <n v="0.01"/>
    <x v="44"/>
    <x v="4"/>
    <s v="100 000 ч"/>
  </r>
  <r>
    <x v="412"/>
    <x v="130"/>
    <x v="19"/>
    <n v="161"/>
    <s v="SB-00008261"/>
    <s v="Д, 10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92"/>
    <n v="0.01"/>
    <x v="44"/>
    <x v="4"/>
    <s v="100 000 ч"/>
  </r>
  <r>
    <x v="413"/>
    <x v="130"/>
    <x v="19"/>
    <n v="161"/>
    <s v="SB-00008262"/>
    <s v="Овал 30x12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92"/>
    <n v="0.01"/>
    <x v="44"/>
    <x v="4"/>
    <s v="100 000 ч"/>
  </r>
  <r>
    <x v="414"/>
    <x v="130"/>
    <x v="19"/>
    <n v="161"/>
    <s v="SB-00008263"/>
    <s v="Ш, 15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92"/>
    <n v="0.01"/>
    <x v="44"/>
    <x v="4"/>
    <s v="100 000 ч"/>
  </r>
  <r>
    <x v="415"/>
    <x v="130"/>
    <x v="19"/>
    <n v="161"/>
    <s v="SB-00008264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92"/>
    <n v="0.01"/>
    <x v="44"/>
    <x v="4"/>
    <s v="100 000 ч"/>
  </r>
  <r>
    <x v="416"/>
    <x v="131"/>
    <x v="63"/>
    <n v="173"/>
    <s v="SB-00008265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24шт"/>
    <s v="350мА"/>
    <x v="2"/>
    <s v="Литой экструдированный алюминиевый анодированный профиль"/>
    <s v="Консоль на трубу до 55мм"/>
    <x v="100"/>
    <n v="0.01"/>
    <x v="5"/>
    <x v="4"/>
    <s v="100 000 ч"/>
  </r>
  <r>
    <x v="417"/>
    <x v="131"/>
    <x v="63"/>
    <n v="173"/>
    <s v="SB-00008266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4"/>
    <s v="100 000 ч"/>
  </r>
  <r>
    <x v="418"/>
    <x v="131"/>
    <x v="63"/>
    <n v="173"/>
    <s v="SB-00008202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4"/>
    <s v="100 000 ч"/>
  </r>
  <r>
    <x v="419"/>
    <x v="131"/>
    <x v="63"/>
    <n v="173"/>
    <s v="SB-00008267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4"/>
    <s v="100 000 ч"/>
  </r>
  <r>
    <x v="420"/>
    <x v="131"/>
    <x v="63"/>
    <n v="173"/>
    <s v="SB-00008268"/>
    <s v="Д, 10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4"/>
    <s v="100 000 ч"/>
  </r>
  <r>
    <x v="421"/>
    <x v="131"/>
    <x v="63"/>
    <n v="173"/>
    <s v="SB-00008269"/>
    <s v="Овал 30x12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4"/>
    <s v="100 000 ч"/>
  </r>
  <r>
    <x v="422"/>
    <x v="131"/>
    <x v="63"/>
    <n v="173"/>
    <s v="SB-00008270"/>
    <s v="Ш, 15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4"/>
    <s v="100 000 ч"/>
  </r>
  <r>
    <x v="423"/>
    <x v="131"/>
    <x v="63"/>
    <n v="173"/>
    <s v="SB-00008271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CREE/Samsung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4"/>
    <s v="100 000 ч"/>
  </r>
  <r>
    <x v="424"/>
    <x v="132"/>
    <x v="21"/>
    <n v="168"/>
    <s v="SB-00007885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6шт"/>
    <s v="350мА"/>
    <x v="1"/>
    <s v="Литой экструдированный алюминиевый анодированный профиль"/>
    <s v="Консоль на трубу до 55мм"/>
    <x v="101"/>
    <n v="0.01"/>
    <x v="24"/>
    <x v="2"/>
    <s v="100 000 ч"/>
  </r>
  <r>
    <x v="425"/>
    <x v="132"/>
    <x v="21"/>
    <n v="168"/>
    <s v="SB-00008272"/>
    <s v="К, 2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426"/>
    <x v="132"/>
    <x v="21"/>
    <n v="168"/>
    <s v="SB-00008273"/>
    <s v="К, 35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427"/>
    <x v="132"/>
    <x v="21"/>
    <n v="168"/>
    <s v="SB-00008274"/>
    <s v="Г, 65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428"/>
    <x v="132"/>
    <x v="21"/>
    <n v="168"/>
    <s v="SB-00008275"/>
    <s v="Д, 10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429"/>
    <x v="132"/>
    <x v="21"/>
    <n v="168"/>
    <s v="SB-00008276"/>
    <s v="Овал 30x12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430"/>
    <x v="132"/>
    <x v="21"/>
    <n v="168"/>
    <s v="SB-00008277"/>
    <s v="Ш, 15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431"/>
    <x v="132"/>
    <x v="21"/>
    <n v="168"/>
    <s v="SB-00008278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432"/>
    <x v="133"/>
    <x v="22"/>
    <n v="164"/>
    <s v="SB-00007889"/>
    <s v="ШБ, 45x140"/>
    <x v="1"/>
    <x v="3"/>
    <x v="2"/>
    <s v="≥0,95"/>
    <s v="Аргос (с защитой от 380В и грозозащитой)"/>
    <s v="I"/>
    <s v="ПММА LEDiL "/>
    <s v="&lt;1%"/>
    <x v="2"/>
    <n v="70"/>
    <s v="CREE/Samsung 48шт"/>
    <s v="350мА"/>
    <x v="1"/>
    <s v="Литой экструдированный алюминиевый анодированный профиль"/>
    <s v="Консоль на трубу до 55мм"/>
    <x v="102"/>
    <n v="0.01"/>
    <x v="25"/>
    <x v="2"/>
    <s v="100 000 ч"/>
  </r>
  <r>
    <x v="433"/>
    <x v="133"/>
    <x v="22"/>
    <n v="164"/>
    <s v="SB-00008279"/>
    <s v="К, 20"/>
    <x v="1"/>
    <x v="3"/>
    <x v="2"/>
    <s v="≥0,95"/>
    <s v="Аргос (с защитой от 380В и грозозащитой)"/>
    <s v="I"/>
    <s v="ПММА LEDiL 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434"/>
    <x v="133"/>
    <x v="22"/>
    <n v="164"/>
    <s v="SB-00008222"/>
    <s v="К, 35"/>
    <x v="1"/>
    <x v="3"/>
    <x v="2"/>
    <s v="≥0,95"/>
    <s v="Аргос (с защитой от 380В и грозозащитой)"/>
    <s v="I"/>
    <s v="ПММА LEDiL 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435"/>
    <x v="133"/>
    <x v="22"/>
    <n v="164"/>
    <s v="SB-00008280"/>
    <s v="Г, 65"/>
    <x v="1"/>
    <x v="3"/>
    <x v="2"/>
    <s v="≥0,95"/>
    <s v="Аргос (с защитой от 380В и грозозащитой)"/>
    <s v="I"/>
    <s v="ПММА LEDiL 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436"/>
    <x v="133"/>
    <x v="22"/>
    <n v="164"/>
    <s v="SB-00008281"/>
    <s v="Д, 100"/>
    <x v="1"/>
    <x v="3"/>
    <x v="2"/>
    <s v="≥0,95"/>
    <s v="Аргос (с защитой от 380В и грозозащитой)"/>
    <s v="I"/>
    <s v="ПММА LEDiL 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437"/>
    <x v="133"/>
    <x v="22"/>
    <n v="164"/>
    <s v="SB-00008282"/>
    <s v="Овал 30x120"/>
    <x v="1"/>
    <x v="3"/>
    <x v="2"/>
    <s v="≥0,95"/>
    <s v="Аргос (с защитой от 380В и грозозащитой)"/>
    <s v="I"/>
    <s v="ПММА LEDiL 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438"/>
    <x v="133"/>
    <x v="22"/>
    <n v="164"/>
    <s v="SB-00008283"/>
    <s v="Ш, 150"/>
    <x v="1"/>
    <x v="3"/>
    <x v="2"/>
    <s v="≥0,95"/>
    <s v="Аргос (с защитой от 380В и грозозащитой)"/>
    <s v="I"/>
    <s v="ПММА LEDiL 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439"/>
    <x v="133"/>
    <x v="22"/>
    <n v="164"/>
    <s v="SB-00008284"/>
    <s v="ШБ, 45x140"/>
    <x v="1"/>
    <x v="3"/>
    <x v="2"/>
    <s v="≥0,95"/>
    <s v="Аргос (с защитой от 380В и грозозащитой)"/>
    <s v="I"/>
    <s v="ПММА LEDiL "/>
    <s v="&lt;1%"/>
    <x v="2"/>
    <n v="70"/>
    <s v="CREE/Samsung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440"/>
    <x v="134"/>
    <x v="9"/>
    <n v="164"/>
    <s v="SB-00019102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*132 шт"/>
    <s v="117мА"/>
    <x v="2"/>
    <s v="Литой экструдированный алюминиевый анодированный профиль"/>
    <s v="Консоль на трубу до 55мм"/>
    <x v="0"/>
    <n v="0.01"/>
    <x v="45"/>
    <x v="4"/>
    <s v="100 000 ч"/>
  </r>
  <r>
    <x v="441"/>
    <x v="135"/>
    <x v="64"/>
    <n v="162"/>
    <s v="SB-00010685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6"/>
    <n v="80"/>
    <m/>
    <s v="117мА"/>
    <x v="2"/>
    <s v="Литой экструдированный алюминиевый анодированный профиль"/>
    <s v="Поворотная лира"/>
    <x v="103"/>
    <m/>
    <x v="0"/>
    <x v="4"/>
    <s v="100 000 ч"/>
  </r>
  <r>
    <x v="442"/>
    <x v="135"/>
    <x v="64"/>
    <n v="162"/>
    <s v="SB-00018959"/>
    <s v="Д, 121"/>
    <x v="7"/>
    <x v="6"/>
    <x v="2"/>
    <s v="≥0,96"/>
    <s v="Аргос/Трион с защитой от 380В или иной по запросу"/>
    <s v="II"/>
    <s v="Стекло силикатное прозрачное"/>
    <s v="&lt;1%"/>
    <x v="6"/>
    <n v="80"/>
    <m/>
    <s v="117мА"/>
    <x v="27"/>
    <s v="Литой экструдированный алюминиевый анодированный профиль"/>
    <s v="Консоль на трубу до 55мм"/>
    <x v="104"/>
    <m/>
    <x v="0"/>
    <x v="4"/>
    <s v="100 000 ч"/>
  </r>
  <r>
    <x v="443"/>
    <x v="10"/>
    <x v="46"/>
    <n v="167"/>
    <s v="SB-00009361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*168 шт"/>
    <s v="117мА"/>
    <x v="1"/>
    <s v="Литой экструдированный алюминиевый анодированный профиль"/>
    <s v="Поворотная лира"/>
    <x v="71"/>
    <n v="0.01"/>
    <x v="31"/>
    <x v="2"/>
    <s v="100 000 ч"/>
  </r>
  <r>
    <x v="444"/>
    <x v="10"/>
    <x v="46"/>
    <n v="167"/>
    <s v="SB-00018023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*168 шт"/>
    <s v="117мА"/>
    <x v="1"/>
    <s v="Литой экструдированный алюминиевый анодированный профиль"/>
    <s v="Консоль на трубу до 55мм"/>
    <x v="0"/>
    <n v="0.01"/>
    <x v="31"/>
    <x v="2"/>
    <s v="100 000 ч"/>
  </r>
  <r>
    <x v="445"/>
    <x v="13"/>
    <x v="65"/>
    <n v="167"/>
    <s v="SB-00010236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*168 шт"/>
    <s v="117мА"/>
    <x v="1"/>
    <s v="Литой экструдированный алюминиевый анодированный профиль"/>
    <s v="Поворотная лира"/>
    <x v="72"/>
    <n v="0.02"/>
    <x v="32"/>
    <x v="2"/>
    <s v="100 000 ч"/>
  </r>
  <r>
    <x v="446"/>
    <x v="16"/>
    <x v="48"/>
    <n v="167"/>
    <s v="SB-00010237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4*168 шт"/>
    <s v="117мА"/>
    <x v="1"/>
    <s v="Литой экструдированный алюминиевый анодированный профиль"/>
    <s v="Поворотная лира"/>
    <x v="105"/>
    <n v="0.03"/>
    <x v="1"/>
    <x v="2"/>
    <s v="100 000 ч"/>
  </r>
  <r>
    <x v="447"/>
    <x v="12"/>
    <x v="66"/>
    <n v="165"/>
    <s v="SB-00008366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*264 шт"/>
    <s v="117мА"/>
    <x v="1"/>
    <s v="Литой экструдированный алюминиевый анодированный профиль"/>
    <s v="Поворотная лира"/>
    <x v="74"/>
    <n v="0.01"/>
    <x v="26"/>
    <x v="2"/>
    <s v="100 000 ч"/>
  </r>
  <r>
    <x v="448"/>
    <x v="12"/>
    <x v="66"/>
    <n v="165"/>
    <s v="SB-00008719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*264 шт"/>
    <s v="117мА"/>
    <x v="1"/>
    <s v="Литой экструдированный алюминиевый анодированный профиль"/>
    <s v="Консоль на трубу до 55мм"/>
    <x v="0"/>
    <n v="0.01"/>
    <x v="26"/>
    <x v="2"/>
    <s v="100 000 ч"/>
  </r>
  <r>
    <x v="449"/>
    <x v="15"/>
    <x v="67"/>
    <n v="165"/>
    <s v="SB-00009100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3*264 шт"/>
    <s v="117мА"/>
    <x v="1"/>
    <s v="Литой экструдированный алюминиевый анодированный профиль"/>
    <s v="Поворотная лира"/>
    <x v="75"/>
    <n v="0.02"/>
    <x v="27"/>
    <x v="2"/>
    <s v="100 000 ч"/>
  </r>
  <r>
    <x v="450"/>
    <x v="18"/>
    <x v="68"/>
    <n v="165"/>
    <s v="SB-00010239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4*264 шт"/>
    <s v="117мА"/>
    <x v="1"/>
    <s v="Литой экструдированный алюминиевый анодированный профиль"/>
    <s v="Поворотная лира"/>
    <x v="76"/>
    <n v="0.03"/>
    <x v="2"/>
    <x v="2"/>
    <s v="100 000 ч"/>
  </r>
  <r>
    <x v="451"/>
    <x v="136"/>
    <x v="14"/>
    <n v="164"/>
    <s v="SB-00019132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4*264 шт"/>
    <s v="117мА"/>
    <x v="2"/>
    <s v="Литой экструдированный алюминиевый анодированный профиль"/>
    <s v="Поворотная лира"/>
    <x v="106"/>
    <n v="2.1999999999999999E-2"/>
    <x v="46"/>
    <x v="10"/>
    <s v="100 000 ч"/>
  </r>
  <r>
    <x v="452"/>
    <x v="136"/>
    <x v="14"/>
    <n v="164"/>
    <s v="SB-00019133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4*264 шт"/>
    <s v="117мА"/>
    <x v="2"/>
    <s v="Литой экструдированный алюминиевый анодированный профиль"/>
    <s v="Консоль на трубу до 55мм"/>
    <x v="107"/>
    <n v="2.1999999999999999E-2"/>
    <x v="46"/>
    <x v="10"/>
    <s v="100 000 ч"/>
  </r>
  <r>
    <x v="453"/>
    <x v="137"/>
    <x v="69"/>
    <n v="164"/>
    <s v="SB-00019134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4*264 шт"/>
    <s v="117мА"/>
    <x v="2"/>
    <s v="Литой экструдированный алюминиевый анодированный профиль"/>
    <s v="Поворотная лира"/>
    <x v="108"/>
    <n v="3.5999999999999997E-2"/>
    <x v="47"/>
    <x v="10"/>
    <s v="100 000 ч"/>
  </r>
  <r>
    <x v="454"/>
    <x v="137"/>
    <x v="69"/>
    <n v="164"/>
    <s v="SB-00019135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4*264 шт"/>
    <s v="117мА"/>
    <x v="2"/>
    <s v="Литой экструдированный алюминиевый анодированный профиль"/>
    <s v="Консоль на трубу до 55мм"/>
    <x v="109"/>
    <n v="3.5999999999999997E-2"/>
    <x v="47"/>
    <x v="10"/>
    <s v="100 000 ч"/>
  </r>
  <r>
    <x v="455"/>
    <x v="138"/>
    <x v="70"/>
    <n v="164"/>
    <s v="SB-00019136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4*264 шт"/>
    <s v="117мА"/>
    <x v="2"/>
    <s v="Литой экструдированный алюминиевый анодированный профиль"/>
    <s v="Поворотная лира"/>
    <x v="110"/>
    <n v="4.3999999999999997E-2"/>
    <x v="48"/>
    <x v="10"/>
    <s v="100 000 ч"/>
  </r>
  <r>
    <x v="456"/>
    <x v="139"/>
    <x v="24"/>
    <n v="168"/>
    <s v="SB-00010176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2*36шт"/>
    <s v="350мА"/>
    <x v="1"/>
    <s v="Литой экструдированный алюминиевый анодированный профиль"/>
    <s v="Консоль на трубу до 55мм"/>
    <x v="111"/>
    <n v="0.02"/>
    <x v="26"/>
    <x v="2"/>
    <s v="100 000 ч"/>
  </r>
  <r>
    <x v="457"/>
    <x v="139"/>
    <x v="24"/>
    <n v="168"/>
    <s v="SB-00010177"/>
    <s v="К, 2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2*36шт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458"/>
    <x v="139"/>
    <x v="24"/>
    <n v="168"/>
    <s v="SB-00010047"/>
    <s v="К, 35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2*36шт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459"/>
    <x v="139"/>
    <x v="24"/>
    <n v="168"/>
    <s v="SB-00010179"/>
    <s v="Г, 65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2*36шт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460"/>
    <x v="139"/>
    <x v="24"/>
    <n v="168"/>
    <s v="SB-00010180"/>
    <s v="Д, 10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2*36шт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461"/>
    <x v="139"/>
    <x v="24"/>
    <n v="168"/>
    <s v="SB-00010050"/>
    <s v="Овал 30x12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2*36шт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462"/>
    <x v="139"/>
    <x v="24"/>
    <n v="168"/>
    <s v="SB-00010182"/>
    <s v="Ш, 15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2*36шт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463"/>
    <x v="139"/>
    <x v="24"/>
    <n v="168"/>
    <s v="SB-00009878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2*36шт"/>
    <s v="350мА"/>
    <x v="1"/>
    <s v="Литой экструдированный алюминиевый анодированный профиль"/>
    <s v="Поворотная лира"/>
    <x v="65"/>
    <n v="0.02"/>
    <x v="26"/>
    <x v="2"/>
    <s v="100 000 ч"/>
  </r>
  <r>
    <x v="464"/>
    <x v="140"/>
    <x v="25"/>
    <n v="164"/>
    <s v="SB-00010184"/>
    <s v="ШБ, 45x140"/>
    <x v="1"/>
    <x v="3"/>
    <x v="2"/>
    <s v="≥0,95"/>
    <s v="Аргос (с защитой от 380В и грозозащитой)"/>
    <s v="I"/>
    <s v="ПММА LEDiL "/>
    <s v="&lt;1%"/>
    <x v="2"/>
    <n v="70"/>
    <s v="CREE/Samsung 2*48шт"/>
    <s v="350мА"/>
    <x v="1"/>
    <s v="Литой экструдированный алюминиевый анодированный профиль"/>
    <s v="Консоль на трубу до 55мм"/>
    <x v="112"/>
    <n v="0.02"/>
    <x v="28"/>
    <x v="2"/>
    <s v="100 000 ч"/>
  </r>
  <r>
    <x v="465"/>
    <x v="140"/>
    <x v="25"/>
    <n v="164"/>
    <s v="SB-00010185"/>
    <s v="К, 20"/>
    <x v="1"/>
    <x v="3"/>
    <x v="2"/>
    <s v="≥0,95"/>
    <s v="Аргос (с защитой от 380В и грозозащитой)"/>
    <s v="I"/>
    <s v="ПММА LEDiL "/>
    <s v="&lt;1%"/>
    <x v="2"/>
    <n v="70"/>
    <s v="CREE/Samsung 2*48шт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466"/>
    <x v="140"/>
    <x v="25"/>
    <n v="164"/>
    <s v="SB-00010048"/>
    <s v="К, 35"/>
    <x v="1"/>
    <x v="3"/>
    <x v="2"/>
    <s v="≥0,95"/>
    <s v="Аргос (с защитой от 380В и грозозащитой)"/>
    <s v="I"/>
    <s v="ПММА LEDiL "/>
    <s v="&lt;1%"/>
    <x v="2"/>
    <n v="70"/>
    <s v="CREE/Samsung 2*48шт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467"/>
    <x v="140"/>
    <x v="25"/>
    <n v="164"/>
    <s v="SB-00009855"/>
    <s v="Г, 65"/>
    <x v="1"/>
    <x v="3"/>
    <x v="2"/>
    <s v="≥0,95"/>
    <s v="Аргос (с защитой от 380В и грозозащитой)"/>
    <s v="I"/>
    <s v="ПММА LEDiL "/>
    <s v="&lt;1%"/>
    <x v="2"/>
    <n v="70"/>
    <s v="CREE/Samsung 2*48шт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468"/>
    <x v="140"/>
    <x v="25"/>
    <n v="164"/>
    <s v="SB-00010167"/>
    <s v="Д, 100"/>
    <x v="1"/>
    <x v="3"/>
    <x v="2"/>
    <s v="≥0,95"/>
    <s v="Аргос (с защитой от 380В и грозозащитой)"/>
    <s v="I"/>
    <s v="ПММА LEDiL "/>
    <s v="&lt;1%"/>
    <x v="2"/>
    <n v="70"/>
    <s v="CREE/Samsung 2*48шт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469"/>
    <x v="140"/>
    <x v="25"/>
    <n v="164"/>
    <s v="SB-00010189"/>
    <s v="Овал 30x120"/>
    <x v="1"/>
    <x v="3"/>
    <x v="2"/>
    <s v="≥0,95"/>
    <s v="Аргос (с защитой от 380В и грозозащитой)"/>
    <s v="I"/>
    <s v="ПММА LEDiL "/>
    <s v="&lt;1%"/>
    <x v="2"/>
    <n v="70"/>
    <s v="CREE/Samsung 2*48шт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470"/>
    <x v="140"/>
    <x v="25"/>
    <n v="164"/>
    <s v="SB-00010190"/>
    <s v="Ш, 150"/>
    <x v="1"/>
    <x v="3"/>
    <x v="2"/>
    <s v="≥0,95"/>
    <s v="Аргос (с защитой от 380В и грозозащитой)"/>
    <s v="I"/>
    <s v="ПММА LEDiL "/>
    <s v="&lt;1%"/>
    <x v="2"/>
    <n v="70"/>
    <s v="CREE/Samsung 2*48шт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471"/>
    <x v="140"/>
    <x v="25"/>
    <n v="164"/>
    <s v="SB-00009681"/>
    <s v="ШБ, 45x140"/>
    <x v="1"/>
    <x v="3"/>
    <x v="2"/>
    <s v="≥0,95"/>
    <s v="Аргос (с защитой от 380В и грозозащитой)"/>
    <s v="I"/>
    <s v="ПММА LEDiL "/>
    <s v="&lt;1%"/>
    <x v="2"/>
    <n v="70"/>
    <s v="CREE/Samsung 2*48шт"/>
    <s v="350мА"/>
    <x v="1"/>
    <s v="Литой экструдированный алюминиевый анодированный профиль"/>
    <s v="Поворотная лира"/>
    <x v="67"/>
    <n v="0.02"/>
    <x v="28"/>
    <x v="2"/>
    <s v="100 000 ч"/>
  </r>
  <r>
    <x v="472"/>
    <x v="141"/>
    <x v="27"/>
    <n v="168"/>
    <s v="SB-00010192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*36шт"/>
    <s v="350мА"/>
    <x v="1"/>
    <s v="Литой экструдированный алюминиевый анодированный профиль"/>
    <s v="Консоль на трубу до 55мм"/>
    <x v="113"/>
    <n v="0.03"/>
    <x v="49"/>
    <x v="2"/>
    <s v="100 000 ч"/>
  </r>
  <r>
    <x v="473"/>
    <x v="141"/>
    <x v="27"/>
    <n v="168"/>
    <s v="SB-00010193"/>
    <s v="К, 2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*36шт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474"/>
    <x v="141"/>
    <x v="27"/>
    <n v="168"/>
    <s v="SB-00010194"/>
    <s v="К, 35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*36шт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475"/>
    <x v="141"/>
    <x v="27"/>
    <n v="168"/>
    <s v="SB-00010195"/>
    <s v="Г, 65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*36шт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476"/>
    <x v="141"/>
    <x v="27"/>
    <n v="168"/>
    <s v="SB-00010196"/>
    <s v="Д, 10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*36шт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477"/>
    <x v="141"/>
    <x v="27"/>
    <n v="168"/>
    <s v="SB-00010197"/>
    <s v="Овал 30x12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*36шт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478"/>
    <x v="141"/>
    <x v="27"/>
    <n v="168"/>
    <s v="SB-00010198"/>
    <s v="Ш, 15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*36шт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479"/>
    <x v="141"/>
    <x v="27"/>
    <n v="168"/>
    <s v="SB-00010199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3*36шт"/>
    <s v="350мА"/>
    <x v="1"/>
    <s v="Литой экструдированный алюминиевый анодированный профиль"/>
    <s v="Поворотная лира"/>
    <x v="66"/>
    <n v="0.03"/>
    <x v="27"/>
    <x v="2"/>
    <s v="100 000 ч"/>
  </r>
  <r>
    <x v="480"/>
    <x v="142"/>
    <x v="28"/>
    <n v="164"/>
    <s v="SB-00010200"/>
    <s v="ШБ, 45x140"/>
    <x v="1"/>
    <x v="3"/>
    <x v="2"/>
    <s v="≥0,95"/>
    <s v="Аргос (с защитой от 380В и грозозащитой)"/>
    <s v="I"/>
    <s v="ПММА LEDiL "/>
    <s v="&lt;1%"/>
    <x v="2"/>
    <n v="70"/>
    <s v="CREE/Samsung 3*48шт"/>
    <s v="350мА"/>
    <x v="1"/>
    <s v="Литой экструдированный алюминиевый анодированный профиль"/>
    <s v="Консоль на трубу до 55мм"/>
    <x v="114"/>
    <n v="0.03"/>
    <x v="29"/>
    <x v="2"/>
    <s v="100 000 ч"/>
  </r>
  <r>
    <x v="481"/>
    <x v="142"/>
    <x v="28"/>
    <n v="164"/>
    <s v="SB-00010201"/>
    <s v="К, 20"/>
    <x v="1"/>
    <x v="3"/>
    <x v="2"/>
    <s v="≥0,95"/>
    <s v="Аргос (с защитой от 380В и грозозащитой)"/>
    <s v="I"/>
    <s v="ПММА LEDiL "/>
    <s v="&lt;1%"/>
    <x v="2"/>
    <n v="70"/>
    <s v="CREE/Samsung 3*48шт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482"/>
    <x v="142"/>
    <x v="28"/>
    <n v="164"/>
    <s v="SB-00009112"/>
    <s v="К, 35"/>
    <x v="1"/>
    <x v="3"/>
    <x v="2"/>
    <s v="≥0,95"/>
    <s v="Аргос (с защитой от 380В и грозозащитой)"/>
    <s v="I"/>
    <s v="ПММА LEDiL "/>
    <s v="&lt;1%"/>
    <x v="2"/>
    <n v="70"/>
    <s v="CREE/Samsung 3*48шт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483"/>
    <x v="142"/>
    <x v="28"/>
    <n v="164"/>
    <s v="SB-00010203"/>
    <s v="Г, 65"/>
    <x v="1"/>
    <x v="3"/>
    <x v="2"/>
    <s v="≥0,95"/>
    <s v="Аргос (с защитой от 380В и грозозащитой)"/>
    <s v="I"/>
    <s v="ПММА LEDiL "/>
    <s v="&lt;1%"/>
    <x v="2"/>
    <n v="70"/>
    <s v="CREE/Samsung 3*48шт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484"/>
    <x v="142"/>
    <x v="28"/>
    <n v="164"/>
    <s v="SB-00010204"/>
    <s v="Д, 100"/>
    <x v="1"/>
    <x v="3"/>
    <x v="2"/>
    <s v="≥0,95"/>
    <s v="Аргос (с защитой от 380В и грозозащитой)"/>
    <s v="I"/>
    <s v="ПММА LEDiL "/>
    <s v="&lt;1%"/>
    <x v="2"/>
    <n v="70"/>
    <s v="CREE/Samsung 3*48шт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485"/>
    <x v="142"/>
    <x v="28"/>
    <n v="164"/>
    <s v="SB-00010205"/>
    <s v="Овал 30x120"/>
    <x v="1"/>
    <x v="3"/>
    <x v="2"/>
    <s v="≥0,95"/>
    <s v="Аргос (с защитой от 380В и грозозащитой)"/>
    <s v="I"/>
    <s v="ПММА LEDiL "/>
    <s v="&lt;1%"/>
    <x v="2"/>
    <n v="70"/>
    <s v="CREE/Samsung 3*48шт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486"/>
    <x v="142"/>
    <x v="28"/>
    <n v="164"/>
    <s v="SB-00010206"/>
    <s v="Ш, 150"/>
    <x v="1"/>
    <x v="3"/>
    <x v="2"/>
    <s v="≥0,95"/>
    <s v="Аргос (с защитой от 380В и грозозащитой)"/>
    <s v="I"/>
    <s v="ПММА LEDiL "/>
    <s v="&lt;1%"/>
    <x v="2"/>
    <n v="70"/>
    <s v="CREE/Samsung 3*48шт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487"/>
    <x v="142"/>
    <x v="28"/>
    <n v="164"/>
    <s v="SB-00009879"/>
    <s v="ШБ, 45x140"/>
    <x v="1"/>
    <x v="3"/>
    <x v="2"/>
    <s v="≥0,95"/>
    <s v="Аргос (с защитой от 380В и грозозащитой)"/>
    <s v="I"/>
    <s v="ПММА LEDiL "/>
    <s v="&lt;1%"/>
    <x v="2"/>
    <n v="70"/>
    <s v="CREE/Samsung 3*48шт"/>
    <s v="350мА"/>
    <x v="1"/>
    <s v="Литой экструдированный алюминиевый анодированный профиль"/>
    <s v="Поворотная лира"/>
    <x v="68"/>
    <n v="0.03"/>
    <x v="29"/>
    <x v="2"/>
    <s v="100 000 ч"/>
  </r>
  <r>
    <x v="488"/>
    <x v="143"/>
    <x v="30"/>
    <n v="168"/>
    <s v="SB-00010208"/>
    <s v="К, 2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4*36шт"/>
    <s v="350мА"/>
    <x v="1"/>
    <s v="Литой экструдированный алюминиевый анодированный профиль"/>
    <s v="Поворотная лира"/>
    <x v="115"/>
    <n v="0.04"/>
    <x v="50"/>
    <x v="2"/>
    <s v="100 000 ч"/>
  </r>
  <r>
    <x v="489"/>
    <x v="143"/>
    <x v="30"/>
    <n v="168"/>
    <s v="SB-00009679"/>
    <s v="К, 35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4*36шт"/>
    <s v="350мА"/>
    <x v="1"/>
    <s v="Литой экструдированный алюминиевый анодированный профиль"/>
    <s v="Поворотная лира"/>
    <x v="115"/>
    <n v="0.04"/>
    <x v="50"/>
    <x v="2"/>
    <s v="100 000 ч"/>
  </r>
  <r>
    <x v="490"/>
    <x v="143"/>
    <x v="30"/>
    <n v="168"/>
    <s v="SB-00010210"/>
    <s v="Г, 65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4*36шт"/>
    <s v="350мА"/>
    <x v="1"/>
    <s v="Литой экструдированный алюминиевый анодированный профиль"/>
    <s v="Поворотная лира"/>
    <x v="115"/>
    <n v="0.04"/>
    <x v="50"/>
    <x v="2"/>
    <s v="100 000 ч"/>
  </r>
  <r>
    <x v="491"/>
    <x v="143"/>
    <x v="30"/>
    <n v="168"/>
    <s v="SB-00010211"/>
    <s v="Д, 10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4*36шт"/>
    <s v="350мА"/>
    <x v="1"/>
    <s v="Литой экструдированный алюминиевый анодированный профиль"/>
    <s v="Поворотная лира"/>
    <x v="115"/>
    <n v="0.04"/>
    <x v="50"/>
    <x v="2"/>
    <s v="100 000 ч"/>
  </r>
  <r>
    <x v="492"/>
    <x v="143"/>
    <x v="30"/>
    <n v="168"/>
    <s v="SB-00010212"/>
    <s v="Овал 30x12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4*36шт"/>
    <s v="350мА"/>
    <x v="1"/>
    <s v="Литой экструдированный алюминиевый анодированный профиль"/>
    <s v="Поворотная лира"/>
    <x v="115"/>
    <n v="0.04"/>
    <x v="50"/>
    <x v="2"/>
    <s v="100 000 ч"/>
  </r>
  <r>
    <x v="493"/>
    <x v="143"/>
    <x v="30"/>
    <n v="168"/>
    <s v="SB-00010213"/>
    <s v="Ш, 15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4*36шт"/>
    <s v="350мА"/>
    <x v="1"/>
    <s v="Литой экструдированный алюминиевый анодированный профиль"/>
    <s v="Поворотная лира"/>
    <x v="115"/>
    <n v="0.04"/>
    <x v="50"/>
    <x v="2"/>
    <s v="100 000 ч"/>
  </r>
  <r>
    <x v="494"/>
    <x v="143"/>
    <x v="30"/>
    <n v="168"/>
    <s v="SB-00010214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CREE/Samsung 4*36шт"/>
    <s v="350мА"/>
    <x v="1"/>
    <s v="Литой экструдированный алюминиевый анодированный профиль"/>
    <s v="Поворотная лира"/>
    <x v="115"/>
    <n v="0.04"/>
    <x v="50"/>
    <x v="2"/>
    <s v="100 000 ч"/>
  </r>
  <r>
    <x v="495"/>
    <x v="144"/>
    <x v="31"/>
    <n v="164"/>
    <s v="SB-00010215"/>
    <s v="К, 20"/>
    <x v="1"/>
    <x v="3"/>
    <x v="2"/>
    <s v="≥0,95"/>
    <s v="Аргос (с защитой от 380В и грозозащитой)"/>
    <s v="I"/>
    <s v="ПММА LEDiL "/>
    <s v="&lt;1%"/>
    <x v="2"/>
    <n v="70"/>
    <s v="CREE/Samsung 4*48шт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496"/>
    <x v="144"/>
    <x v="31"/>
    <n v="164"/>
    <s v="SB-00009677"/>
    <s v="К, 35"/>
    <x v="1"/>
    <x v="3"/>
    <x v="2"/>
    <s v="≥0,95"/>
    <s v="Аргос (с защитой от 380В и грозозащитой)"/>
    <s v="I"/>
    <s v="ПММА LEDiL "/>
    <s v="&lt;1%"/>
    <x v="2"/>
    <n v="70"/>
    <s v="CREE/Samsung 4*48шт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497"/>
    <x v="144"/>
    <x v="31"/>
    <n v="164"/>
    <s v="SB-00010217"/>
    <s v="Г, 65"/>
    <x v="1"/>
    <x v="3"/>
    <x v="2"/>
    <s v="≥0,95"/>
    <s v="Аргос (с защитой от 380В и грозозащитой)"/>
    <s v="I"/>
    <s v="ПММА LEDiL "/>
    <s v="&lt;1%"/>
    <x v="2"/>
    <n v="70"/>
    <s v="CREE/Samsung 4*48шт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498"/>
    <x v="144"/>
    <x v="31"/>
    <n v="164"/>
    <s v="SB-00010218"/>
    <s v="Д, 100"/>
    <x v="1"/>
    <x v="3"/>
    <x v="2"/>
    <s v="≥0,95"/>
    <s v="Аргос (с защитой от 380В и грозозащитой)"/>
    <s v="I"/>
    <s v="ПММА LEDiL "/>
    <s v="&lt;1%"/>
    <x v="2"/>
    <n v="70"/>
    <s v="CREE/Samsung 4*48шт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499"/>
    <x v="144"/>
    <x v="31"/>
    <n v="164"/>
    <s v="SB-00010219"/>
    <s v="Овал 30x120"/>
    <x v="1"/>
    <x v="3"/>
    <x v="2"/>
    <s v="≥0,95"/>
    <s v="Аргос (с защитой от 380В и грозозащитой)"/>
    <s v="I"/>
    <s v="ПММА LEDiL "/>
    <s v="&lt;1%"/>
    <x v="2"/>
    <n v="70"/>
    <s v="CREE/Samsung 4*48шт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500"/>
    <x v="144"/>
    <x v="31"/>
    <n v="164"/>
    <s v="SB-00010220"/>
    <s v="Ш, 150"/>
    <x v="1"/>
    <x v="3"/>
    <x v="2"/>
    <s v="≥0,95"/>
    <s v="Аргос (с защитой от 380В и грозозащитой)"/>
    <s v="I"/>
    <s v="ПММА LEDiL "/>
    <s v="&lt;1%"/>
    <x v="2"/>
    <n v="70"/>
    <s v="CREE/Samsung 4*48шт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501"/>
    <x v="144"/>
    <x v="31"/>
    <n v="164"/>
    <s v="SB-00010221"/>
    <s v="ШБ, 45x140"/>
    <x v="1"/>
    <x v="3"/>
    <x v="2"/>
    <s v="≥0,95"/>
    <s v="Аргос (с защитой от 380В и грозозащитой)"/>
    <s v="I"/>
    <s v="ПММА LEDiL "/>
    <s v="&lt;1%"/>
    <x v="2"/>
    <n v="70"/>
    <s v="CREE/Samsung 4*48шт"/>
    <s v="350мА"/>
    <x v="1"/>
    <s v="Литой экструдированный алюминиевый анодированный профиль"/>
    <s v="Поворотная лира"/>
    <x v="69"/>
    <n v="0.04"/>
    <x v="30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502"/>
    <x v="145"/>
    <x v="71"/>
    <n v="140"/>
    <s v="SB-00008762"/>
    <s v="К, 20"/>
    <x v="1"/>
    <x v="3"/>
    <x v="2"/>
    <s v="≥0,95"/>
    <s v="Аргос/Трион с защитой от 380В или иной по запросу"/>
    <s v="II"/>
    <s v="ПММА LEDiL "/>
    <s v="&lt;1%"/>
    <x v="5"/>
    <n v="70"/>
    <s v="Osram Duris S8 12шт"/>
    <s v="525мА"/>
    <x v="1"/>
    <s v="Литой экструдированный алюминиевый анодированный профиль"/>
    <s v="Поворотный кронштейн с хомутом на трубу до 50.8мм"/>
    <x v="93"/>
    <n v="0.01"/>
    <x v="51"/>
    <x v="2"/>
    <s v="60 000 ч"/>
  </r>
  <r>
    <x v="503"/>
    <x v="145"/>
    <x v="71"/>
    <n v="140"/>
    <s v="SB-00008763"/>
    <s v="К, 35"/>
    <x v="1"/>
    <x v="7"/>
    <x v="2"/>
    <s v="≥0,95"/>
    <s v="Аргос/Трион с защитой от 380В или иной по запросу"/>
    <s v="II"/>
    <s v="ПММА LEDiL "/>
    <s v="&lt;1%"/>
    <x v="5"/>
    <n v="70"/>
    <s v="Osram Duris S8 12шт"/>
    <s v="525мА"/>
    <x v="1"/>
    <s v="Литой экструдированный алюминиевый анодированный профиль"/>
    <s v="Поворотный кронштейн с хомутом на трубу до 50.8мм"/>
    <x v="93"/>
    <n v="0.01"/>
    <x v="51"/>
    <x v="2"/>
    <s v="60 000 ч"/>
  </r>
  <r>
    <x v="504"/>
    <x v="145"/>
    <x v="71"/>
    <n v="140"/>
    <s v="SB-00008764"/>
    <s v="Г, 65"/>
    <x v="1"/>
    <x v="3"/>
    <x v="2"/>
    <s v="≥0,95"/>
    <s v="Аргос/Трион с защитой от 380В или иной по запросу"/>
    <s v="II"/>
    <s v="ПММА LEDiL "/>
    <s v="&lt;1%"/>
    <x v="5"/>
    <n v="70"/>
    <s v="Osram Duris S8 12шт"/>
    <s v="525мА"/>
    <x v="1"/>
    <s v="Литой экструдированный алюминиевый анодированный профиль"/>
    <s v="Поворотный кронштейн с хомутом на трубу до 50.8мм"/>
    <x v="93"/>
    <n v="0.01"/>
    <x v="51"/>
    <x v="2"/>
    <s v="60 000 ч"/>
  </r>
  <r>
    <x v="505"/>
    <x v="145"/>
    <x v="71"/>
    <n v="140"/>
    <s v="SB-00008765"/>
    <s v="Д, 100"/>
    <x v="1"/>
    <x v="7"/>
    <x v="2"/>
    <s v="≥0,95"/>
    <s v="Аргос/Трион с защитой от 380В или иной по запросу"/>
    <s v="II"/>
    <s v="ПММА LEDiL "/>
    <s v="&lt;1%"/>
    <x v="5"/>
    <n v="70"/>
    <s v="Osram Duris S8 12шт"/>
    <s v="525мА"/>
    <x v="1"/>
    <s v="Литой экструдированный алюминиевый анодированный профиль"/>
    <s v="Поворотный кронштейн с хомутом на трубу до 50.8мм"/>
    <x v="93"/>
    <n v="0.01"/>
    <x v="51"/>
    <x v="2"/>
    <s v="60 000 ч"/>
  </r>
  <r>
    <x v="506"/>
    <x v="145"/>
    <x v="71"/>
    <n v="140"/>
    <s v="SB-00008766"/>
    <s v="Овал 30x120"/>
    <x v="1"/>
    <x v="3"/>
    <x v="2"/>
    <s v="≥0,95"/>
    <s v="Аргос/Трион с защитой от 380В или иной по запросу"/>
    <s v="II"/>
    <s v="ПММА LEDiL "/>
    <s v="&lt;1%"/>
    <x v="5"/>
    <n v="70"/>
    <s v="Osram Duris S8 12шт"/>
    <s v="525мА"/>
    <x v="1"/>
    <s v="Литой экструдированный алюминиевый анодированный профиль"/>
    <s v="Поворотный кронштейн с хомутом на трубу до 50.8мм"/>
    <x v="93"/>
    <n v="0.01"/>
    <x v="51"/>
    <x v="2"/>
    <s v="60 000 ч"/>
  </r>
  <r>
    <x v="507"/>
    <x v="145"/>
    <x v="71"/>
    <n v="140"/>
    <s v="SB-00008767"/>
    <s v="Ш, 150"/>
    <x v="1"/>
    <x v="7"/>
    <x v="2"/>
    <s v="≥0,95"/>
    <s v="Аргос/Трион с защитой от 380В или иной по запросу"/>
    <s v="II"/>
    <s v="ПММА LEDiL "/>
    <s v="&lt;1%"/>
    <x v="5"/>
    <n v="70"/>
    <s v="Osram Duris S8 12шт"/>
    <s v="525мА"/>
    <x v="1"/>
    <s v="Литой экструдированный алюминиевый анодированный профиль"/>
    <s v="Поворотный кронштейн с хомутом на трубу до 50.8мм"/>
    <x v="93"/>
    <n v="0.01"/>
    <x v="51"/>
    <x v="2"/>
    <s v="60 000 ч"/>
  </r>
  <r>
    <x v="508"/>
    <x v="145"/>
    <x v="71"/>
    <n v="140"/>
    <s v="SB-00008768"/>
    <s v="ШБ, 45x140"/>
    <x v="1"/>
    <x v="3"/>
    <x v="2"/>
    <s v="≥0,95"/>
    <s v="Аргос/Трион с защитой от 380В или иной по запросу"/>
    <s v="II"/>
    <s v="ПММА LEDiL "/>
    <s v="&lt;1%"/>
    <x v="5"/>
    <n v="70"/>
    <s v="Osram Duris S8 12шт"/>
    <s v="525мА"/>
    <x v="1"/>
    <s v="Литой экструдированный алюминиевый анодированный профиль"/>
    <s v="Поворотный кронштейн с хомутом на трубу до 50.8мм"/>
    <x v="93"/>
    <n v="0.01"/>
    <x v="51"/>
    <x v="2"/>
    <s v="60 000 ч"/>
  </r>
  <r>
    <x v="509"/>
    <x v="145"/>
    <x v="71"/>
    <n v="140"/>
    <s v="SB-00008769"/>
    <s v="ШБ, 45x140"/>
    <x v="1"/>
    <x v="7"/>
    <x v="2"/>
    <s v="≥0,95"/>
    <s v="Аргос/Трион с защитой от 380В или иной по запросу"/>
    <s v="II"/>
    <s v="ПММА LEDiL "/>
    <s v="&lt;1%"/>
    <x v="5"/>
    <n v="70"/>
    <s v="Osram Duris S8 12шт"/>
    <s v="525мА"/>
    <x v="1"/>
    <s v="Литой экструдированный алюминиевый анодированный профиль"/>
    <s v="Консоль на трубу до 55мм"/>
    <x v="95"/>
    <n v="0.01"/>
    <x v="51"/>
    <x v="2"/>
    <s v="60 000 ч"/>
  </r>
  <r>
    <x v="510"/>
    <x v="112"/>
    <x v="45"/>
    <n v="144"/>
    <s v="SB-00008770"/>
    <s v="К, 20"/>
    <x v="1"/>
    <x v="3"/>
    <x v="2"/>
    <s v="≥0,95"/>
    <s v="Аргос/Трион (с защитой от 380В и грозозащитой)"/>
    <s v="I"/>
    <s v="ПММА LEDiL "/>
    <s v="&lt;1%"/>
    <x v="5"/>
    <n v="70"/>
    <s v="Osram Duris S8 24шт"/>
    <s v="525мА"/>
    <x v="1"/>
    <s v="Литой экструдированный алюминиевый анодированный профиль"/>
    <s v="Поворотный кронштейн с хомутом на трубу до 50.8мм"/>
    <x v="73"/>
    <n v="0.01"/>
    <x v="33"/>
    <x v="2"/>
    <s v="60 000 ч"/>
  </r>
  <r>
    <x v="511"/>
    <x v="112"/>
    <x v="45"/>
    <n v="144"/>
    <s v="SB-00008771"/>
    <s v="К, 35"/>
    <x v="1"/>
    <x v="7"/>
    <x v="2"/>
    <s v="≥0,95"/>
    <s v="Аргос/Трион (с защитой от 380В и грозозащитой)"/>
    <s v="I"/>
    <s v="ПММА LEDiL "/>
    <s v="&lt;1%"/>
    <x v="5"/>
    <n v="70"/>
    <s v="Osram Duris S8 24шт"/>
    <s v="525мА"/>
    <x v="1"/>
    <s v="Литой экструдированный алюминиевый анодированный профиль"/>
    <s v="Поворотный кронштейн с хомутом на трубу до 50.8мм"/>
    <x v="73"/>
    <n v="0.01"/>
    <x v="33"/>
    <x v="2"/>
    <s v="60 000 ч"/>
  </r>
  <r>
    <x v="512"/>
    <x v="112"/>
    <x v="45"/>
    <n v="144"/>
    <s v="SB-00008772"/>
    <s v="Г, 65"/>
    <x v="1"/>
    <x v="3"/>
    <x v="2"/>
    <s v="≥0,95"/>
    <s v="Аргос/Трион (с защитой от 380В и грозозащитой)"/>
    <s v="I"/>
    <s v="ПММА LEDiL "/>
    <s v="&lt;1%"/>
    <x v="5"/>
    <n v="70"/>
    <s v="Osram Duris S8 24шт"/>
    <s v="525мА"/>
    <x v="1"/>
    <s v="Литой экструдированный алюминиевый анодированный профиль"/>
    <s v="Поворотный кронштейн с хомутом на трубу до 50.8мм"/>
    <x v="73"/>
    <n v="0.01"/>
    <x v="33"/>
    <x v="2"/>
    <s v="60 000 ч"/>
  </r>
  <r>
    <x v="513"/>
    <x v="112"/>
    <x v="45"/>
    <n v="144"/>
    <s v="SB-00008773"/>
    <s v="Д, 100"/>
    <x v="1"/>
    <x v="7"/>
    <x v="2"/>
    <s v="≥0,95"/>
    <s v="Аргос/Трион (с защитой от 380В и грозозащитой)"/>
    <s v="I"/>
    <s v="ПММА LEDiL "/>
    <s v="&lt;1%"/>
    <x v="5"/>
    <n v="70"/>
    <s v="Osram Duris S8 24шт"/>
    <s v="525мА"/>
    <x v="1"/>
    <s v="Литой экструдированный алюминиевый анодированный профиль"/>
    <s v="Поворотный кронштейн с хомутом на трубу до 50.8мм"/>
    <x v="73"/>
    <n v="0.01"/>
    <x v="33"/>
    <x v="2"/>
    <s v="60 000 ч"/>
  </r>
  <r>
    <x v="514"/>
    <x v="112"/>
    <x v="45"/>
    <n v="144"/>
    <s v="SB-00008774"/>
    <s v="Овал 30x120"/>
    <x v="1"/>
    <x v="3"/>
    <x v="2"/>
    <s v="≥0,95"/>
    <s v="Аргос/Трион (с защитой от 380В и грозозащитой)"/>
    <s v="I"/>
    <s v="ПММА LEDiL "/>
    <s v="&lt;1%"/>
    <x v="5"/>
    <n v="70"/>
    <s v="Osram Duris S8 24шт"/>
    <s v="525мА"/>
    <x v="1"/>
    <s v="Литой экструдированный алюминиевый анодированный профиль"/>
    <s v="Поворотный кронштейн с хомутом на трубу до 50.8мм"/>
    <x v="73"/>
    <n v="0.01"/>
    <x v="33"/>
    <x v="2"/>
    <s v="60 000 ч"/>
  </r>
  <r>
    <x v="515"/>
    <x v="112"/>
    <x v="45"/>
    <n v="144"/>
    <s v="SB-00008775"/>
    <s v="Ш, 150"/>
    <x v="1"/>
    <x v="7"/>
    <x v="2"/>
    <s v="≥0,95"/>
    <s v="Аргос/Трион (с защитой от 380В и грозозащитой)"/>
    <s v="I"/>
    <s v="ПММА LEDiL "/>
    <s v="&lt;1%"/>
    <x v="5"/>
    <n v="70"/>
    <s v="Osram Duris S8 24шт"/>
    <s v="525мА"/>
    <x v="1"/>
    <s v="Литой экструдированный алюминиевый анодированный профиль"/>
    <s v="Поворотный кронштейн с хомутом на трубу до 50.8мм"/>
    <x v="73"/>
    <n v="0.01"/>
    <x v="33"/>
    <x v="2"/>
    <s v="60 000 ч"/>
  </r>
  <r>
    <x v="516"/>
    <x v="112"/>
    <x v="45"/>
    <n v="144"/>
    <s v="SB-00008776"/>
    <s v="ШБ, 45x140"/>
    <x v="1"/>
    <x v="3"/>
    <x v="2"/>
    <s v="≥0,95"/>
    <s v="Аргос/Трион (с защитой от 380В и грозозащитой)"/>
    <s v="I"/>
    <s v="ПММА LEDiL "/>
    <s v="&lt;1%"/>
    <x v="5"/>
    <n v="70"/>
    <s v="Osram Duris S8 24шт"/>
    <s v="525мА"/>
    <x v="1"/>
    <s v="Литой экструдированный алюминиевый анодированный профиль"/>
    <s v="Поворотный кронштейн с хомутом на трубу до 50.8мм"/>
    <x v="73"/>
    <n v="0.01"/>
    <x v="33"/>
    <x v="2"/>
    <s v="60 000 ч"/>
  </r>
  <r>
    <x v="517"/>
    <x v="112"/>
    <x v="45"/>
    <n v="144"/>
    <s v="SB-00008777"/>
    <s v="ШБ, 45x140"/>
    <x v="1"/>
    <x v="7"/>
    <x v="2"/>
    <s v="≥0,95"/>
    <s v="Аргос/Трион (с защитой от 380В и грозозащитой)"/>
    <s v="I"/>
    <s v="ПММА LEDiL "/>
    <s v="&lt;1%"/>
    <x v="5"/>
    <n v="70"/>
    <s v="Osram Duris S8 24шт"/>
    <s v="525мА"/>
    <x v="1"/>
    <s v="Литой экструдированный алюминиевый анодированный профиль"/>
    <s v="Консоль на трубу до 55мм"/>
    <x v="97"/>
    <n v="0.01"/>
    <x v="33"/>
    <x v="2"/>
    <s v="60 000 ч"/>
  </r>
  <r>
    <x v="518"/>
    <x v="113"/>
    <x v="46"/>
    <n v="147"/>
    <s v="SB-00008778"/>
    <s v="К, 20"/>
    <x v="1"/>
    <x v="3"/>
    <x v="2"/>
    <s v="≥0,95"/>
    <s v="Аргос (с защитой от 380В и грозозащитой)"/>
    <s v="I"/>
    <s v="ПММА LEDiL "/>
    <s v="&lt;1%"/>
    <x v="5"/>
    <n v="70"/>
    <s v="Osram Duris S8 36шт"/>
    <s v="525мА"/>
    <x v="1"/>
    <s v="Литой экструдированный алюминиевый анодированный профиль"/>
    <s v="Поворотный кронштейн с хомутом на трубу до 50.8мм"/>
    <x v="77"/>
    <n v="0.01"/>
    <x v="6"/>
    <x v="2"/>
    <s v="60 000 ч"/>
  </r>
  <r>
    <x v="519"/>
    <x v="113"/>
    <x v="46"/>
    <n v="147"/>
    <s v="SB-00008779"/>
    <s v="К, 35"/>
    <x v="1"/>
    <x v="7"/>
    <x v="2"/>
    <s v="≥0,95"/>
    <s v="Аргос (с защитой от 380В и грозозащитой)"/>
    <s v="I"/>
    <s v="ПММА LEDiL "/>
    <s v="&lt;1%"/>
    <x v="5"/>
    <n v="70"/>
    <s v="Osram Duris S8 36шт"/>
    <s v="525мА"/>
    <x v="1"/>
    <s v="Литой экструдированный алюминиевый анодированный профиль"/>
    <s v="Поворотный кронштейн с хомутом на трубу до 50.8мм"/>
    <x v="77"/>
    <n v="0.01"/>
    <x v="6"/>
    <x v="2"/>
    <s v="60 000 ч"/>
  </r>
  <r>
    <x v="520"/>
    <x v="113"/>
    <x v="46"/>
    <n v="147"/>
    <s v="SB-00008780"/>
    <s v="Г, 65"/>
    <x v="1"/>
    <x v="3"/>
    <x v="2"/>
    <s v="≥0,95"/>
    <s v="Аргос (с защитой от 380В и грозозащитой)"/>
    <s v="I"/>
    <s v="ПММА LEDiL "/>
    <s v="&lt;1%"/>
    <x v="5"/>
    <n v="70"/>
    <s v="Osram Duris S8 36шт"/>
    <s v="525мА"/>
    <x v="1"/>
    <s v="Литой экструдированный алюминиевый анодированный профиль"/>
    <s v="Поворотный кронштейн с хомутом на трубу до 50.8мм"/>
    <x v="77"/>
    <n v="0.01"/>
    <x v="6"/>
    <x v="2"/>
    <s v="60 000 ч"/>
  </r>
  <r>
    <x v="521"/>
    <x v="113"/>
    <x v="46"/>
    <n v="147"/>
    <s v="SB-00008781"/>
    <s v="Д, 100"/>
    <x v="1"/>
    <x v="7"/>
    <x v="2"/>
    <s v="≥0,95"/>
    <s v="Аргос (с защитой от 380В и грозозащитой)"/>
    <s v="I"/>
    <s v="ПММА LEDiL "/>
    <s v="&lt;1%"/>
    <x v="5"/>
    <n v="70"/>
    <s v="Osram Duris S8 36шт"/>
    <s v="525мА"/>
    <x v="1"/>
    <s v="Литой экструдированный алюминиевый анодированный профиль"/>
    <s v="Поворотный кронштейн с хомутом на трубу до 50.8мм"/>
    <x v="77"/>
    <n v="0.01"/>
    <x v="6"/>
    <x v="2"/>
    <s v="60 000 ч"/>
  </r>
  <r>
    <x v="522"/>
    <x v="113"/>
    <x v="46"/>
    <n v="147"/>
    <s v="SB-00008782"/>
    <s v="Овал 30x120"/>
    <x v="1"/>
    <x v="3"/>
    <x v="2"/>
    <s v="≥0,95"/>
    <s v="Аргос (с защитой от 380В и грозозащитой)"/>
    <s v="I"/>
    <s v="ПММА LEDiL "/>
    <s v="&lt;1%"/>
    <x v="5"/>
    <n v="70"/>
    <s v="Osram Duris S8 36шт"/>
    <s v="525мА"/>
    <x v="1"/>
    <s v="Литой экструдированный алюминиевый анодированный профиль"/>
    <s v="Поворотный кронштейн с хомутом на трубу до 50.8мм"/>
    <x v="77"/>
    <n v="0.01"/>
    <x v="6"/>
    <x v="2"/>
    <s v="60 000 ч"/>
  </r>
  <r>
    <x v="523"/>
    <x v="113"/>
    <x v="46"/>
    <n v="147"/>
    <s v="SB-00008783"/>
    <s v="Ш, 150"/>
    <x v="1"/>
    <x v="7"/>
    <x v="2"/>
    <s v="≥0,95"/>
    <s v="Аргос (с защитой от 380В и грозозащитой)"/>
    <s v="I"/>
    <s v="ПММА LEDiL "/>
    <s v="&lt;1%"/>
    <x v="5"/>
    <n v="70"/>
    <s v="Osram Duris S8 36шт"/>
    <s v="525мА"/>
    <x v="1"/>
    <s v="Литой экструдированный алюминиевый анодированный профиль"/>
    <s v="Поворотный кронштейн с хомутом на трубу до 50.8мм"/>
    <x v="77"/>
    <n v="0.01"/>
    <x v="6"/>
    <x v="2"/>
    <s v="60 000 ч"/>
  </r>
  <r>
    <x v="524"/>
    <x v="113"/>
    <x v="46"/>
    <n v="147"/>
    <s v="SB-00008784"/>
    <s v="ШБ, 45x140"/>
    <x v="1"/>
    <x v="3"/>
    <x v="2"/>
    <s v="≥0,95"/>
    <s v="Аргос (с защитой от 380В и грозозащитой)"/>
    <s v="I"/>
    <s v="ПММА LEDiL "/>
    <s v="&lt;1%"/>
    <x v="5"/>
    <n v="70"/>
    <s v="Osram Duris S8 36шт"/>
    <s v="525мА"/>
    <x v="1"/>
    <s v="Литой экструдированный алюминиевый анодированный профиль"/>
    <s v="Поворотный кронштейн с хомутом на трубу до 50.8мм"/>
    <x v="77"/>
    <n v="0.01"/>
    <x v="6"/>
    <x v="2"/>
    <s v="60 000 ч"/>
  </r>
  <r>
    <x v="525"/>
    <x v="113"/>
    <x v="46"/>
    <n v="147"/>
    <s v="SB-00008785"/>
    <s v="ШБ, 45x140"/>
    <x v="1"/>
    <x v="7"/>
    <x v="2"/>
    <s v="≥0,95"/>
    <s v="Аргос (с защитой от 380В и грозозащитой)"/>
    <s v="I"/>
    <s v="ПММА LEDiL "/>
    <s v="&lt;1%"/>
    <x v="5"/>
    <n v="70"/>
    <s v="Osram Duris S8 36шт"/>
    <s v="525мА"/>
    <x v="1"/>
    <s v="Литой экструдированный алюминиевый анодированный профиль"/>
    <s v="Консоль на трубу до 55мм"/>
    <x v="116"/>
    <n v="0.01"/>
    <x v="6"/>
    <x v="2"/>
    <s v="60 000 ч"/>
  </r>
  <r>
    <x v="526"/>
    <x v="146"/>
    <x v="47"/>
    <n v="150"/>
    <s v="SB-00008786"/>
    <s v="К, 20"/>
    <x v="1"/>
    <x v="3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8"/>
    <n v="0.01"/>
    <x v="34"/>
    <x v="2"/>
    <s v="60 000 ч"/>
  </r>
  <r>
    <x v="527"/>
    <x v="146"/>
    <x v="47"/>
    <n v="150"/>
    <s v="SB-00008787"/>
    <s v="К, 35"/>
    <x v="1"/>
    <x v="7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8"/>
    <n v="0.01"/>
    <x v="34"/>
    <x v="2"/>
    <s v="60 000 ч"/>
  </r>
  <r>
    <x v="528"/>
    <x v="146"/>
    <x v="47"/>
    <n v="150"/>
    <s v="SB-00008788"/>
    <s v="Г, 65"/>
    <x v="1"/>
    <x v="3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8"/>
    <n v="0.01"/>
    <x v="34"/>
    <x v="2"/>
    <s v="60 000 ч"/>
  </r>
  <r>
    <x v="529"/>
    <x v="146"/>
    <x v="47"/>
    <n v="150"/>
    <s v="SB-00008789"/>
    <s v="Д, 100"/>
    <x v="1"/>
    <x v="7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8"/>
    <n v="0.01"/>
    <x v="34"/>
    <x v="2"/>
    <s v="60 000 ч"/>
  </r>
  <r>
    <x v="530"/>
    <x v="146"/>
    <x v="47"/>
    <n v="150"/>
    <s v="SB-00008790"/>
    <s v="Овал 30x120"/>
    <x v="1"/>
    <x v="3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8"/>
    <n v="0.01"/>
    <x v="34"/>
    <x v="2"/>
    <s v="60 000 ч"/>
  </r>
  <r>
    <x v="531"/>
    <x v="146"/>
    <x v="47"/>
    <n v="150"/>
    <s v="SB-00008791"/>
    <s v="Ш, 150"/>
    <x v="1"/>
    <x v="7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8"/>
    <n v="0.01"/>
    <x v="34"/>
    <x v="2"/>
    <s v="60 000 ч"/>
  </r>
  <r>
    <x v="532"/>
    <x v="146"/>
    <x v="47"/>
    <n v="150"/>
    <s v="SB-00008792"/>
    <s v="ШБ, 45x140"/>
    <x v="1"/>
    <x v="3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8"/>
    <n v="0.01"/>
    <x v="34"/>
    <x v="2"/>
    <s v="60 000 ч"/>
  </r>
  <r>
    <x v="533"/>
    <x v="146"/>
    <x v="47"/>
    <n v="150"/>
    <s v="SB-00008793"/>
    <s v="ШБ, 45x140"/>
    <x v="1"/>
    <x v="7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Консоль на трубу до 55мм"/>
    <x v="117"/>
    <n v="0.01"/>
    <x v="34"/>
    <x v="2"/>
    <s v="60 000 ч"/>
  </r>
  <r>
    <x v="534"/>
    <x v="147"/>
    <x v="72"/>
    <n v="144"/>
    <s v="SB-00016110"/>
    <s v="К, 20"/>
    <x v="1"/>
    <x v="3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4"/>
    <n v="0.01"/>
    <x v="52"/>
    <x v="2"/>
    <s v="60 000 ч"/>
  </r>
  <r>
    <x v="535"/>
    <x v="147"/>
    <x v="72"/>
    <n v="144"/>
    <s v="SB-00016111"/>
    <s v="К, 35"/>
    <x v="1"/>
    <x v="7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4"/>
    <n v="0.02"/>
    <x v="52"/>
    <x v="2"/>
    <s v="60 000 ч"/>
  </r>
  <r>
    <x v="536"/>
    <x v="147"/>
    <x v="72"/>
    <n v="144"/>
    <s v="SB-00016112"/>
    <s v="Г, 65"/>
    <x v="1"/>
    <x v="3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4"/>
    <n v="0.02"/>
    <x v="52"/>
    <x v="2"/>
    <s v="60 000 ч"/>
  </r>
  <r>
    <x v="537"/>
    <x v="147"/>
    <x v="72"/>
    <n v="144"/>
    <s v="SB-00016113"/>
    <s v="Д, 100"/>
    <x v="1"/>
    <x v="7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4"/>
    <n v="0.02"/>
    <x v="52"/>
    <x v="2"/>
    <s v="60 000 ч"/>
  </r>
  <r>
    <x v="538"/>
    <x v="147"/>
    <x v="72"/>
    <n v="144"/>
    <s v="SB-00016114"/>
    <s v="Овал 30x120"/>
    <x v="1"/>
    <x v="3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4"/>
    <n v="0.02"/>
    <x v="52"/>
    <x v="2"/>
    <s v="60 000 ч"/>
  </r>
  <r>
    <x v="539"/>
    <x v="147"/>
    <x v="72"/>
    <n v="144"/>
    <s v="SB-00016115"/>
    <s v="Ш, 150"/>
    <x v="1"/>
    <x v="7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4"/>
    <n v="0.02"/>
    <x v="52"/>
    <x v="2"/>
    <s v="60 000 ч"/>
  </r>
  <r>
    <x v="540"/>
    <x v="147"/>
    <x v="72"/>
    <n v="144"/>
    <s v="SB-00016116"/>
    <s v="ШБ, 45x140"/>
    <x v="1"/>
    <x v="3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Поворотный кронштейн с хомутом на трубу до 50.8мм"/>
    <x v="74"/>
    <n v="0.02"/>
    <x v="52"/>
    <x v="2"/>
    <s v="60 000 ч"/>
  </r>
  <r>
    <x v="541"/>
    <x v="147"/>
    <x v="72"/>
    <n v="144"/>
    <s v="SB-00016117"/>
    <s v="ШБ, 45x140"/>
    <x v="1"/>
    <x v="7"/>
    <x v="2"/>
    <s v="≥0,95"/>
    <s v="Аргос (с защитой от 380В и грозозащитой)"/>
    <s v="I"/>
    <s v="ПММА LEDiL "/>
    <s v="&lt;1%"/>
    <x v="5"/>
    <n v="70"/>
    <s v="Osram Duris S8 48шт"/>
    <s v="525мА"/>
    <x v="1"/>
    <s v="Литой экструдированный алюминиевый анодированный профиль"/>
    <s v="Консоль на трубу до 55мм"/>
    <x v="118"/>
    <n v="0.02"/>
    <x v="52"/>
    <x v="2"/>
    <s v="60 000 ч"/>
  </r>
  <r>
    <x v="542"/>
    <x v="148"/>
    <x v="73"/>
    <n v="144"/>
    <s v="SB-00016118"/>
    <s v="К, 20"/>
    <x v="1"/>
    <x v="3"/>
    <x v="2"/>
    <s v="≥0,95"/>
    <s v="Аргос (с защитой от 380В и грозозащитой)"/>
    <s v="I"/>
    <s v="ПММА LEDiL "/>
    <s v="&lt;1%"/>
    <x v="5"/>
    <n v="70"/>
    <s v="Osram Duris S8 72шт"/>
    <s v="525мА"/>
    <x v="1"/>
    <s v="Литой экструдированный алюминиевый анодированный профиль"/>
    <s v="Поворотный кронштейн с хомутом на трубу до 50.8мм"/>
    <x v="75"/>
    <n v="0.02"/>
    <x v="53"/>
    <x v="2"/>
    <s v="60 000 ч"/>
  </r>
  <r>
    <x v="543"/>
    <x v="148"/>
    <x v="73"/>
    <n v="144"/>
    <s v="SB-00016119"/>
    <s v="К, 35"/>
    <x v="1"/>
    <x v="7"/>
    <x v="2"/>
    <s v="≥0,95"/>
    <s v="Аргос (с защитой от 380В и грозозащитой)"/>
    <s v="I"/>
    <s v="ПММА LEDiL "/>
    <s v="&lt;1%"/>
    <x v="5"/>
    <n v="70"/>
    <s v="Osram Duris S8 72шт"/>
    <s v="525мА"/>
    <x v="1"/>
    <s v="Литой экструдированный алюминиевый анодированный профиль"/>
    <s v="Поворотный кронштейн с хомутом на трубу до 50.8мм"/>
    <x v="75"/>
    <n v="0.02"/>
    <x v="53"/>
    <x v="2"/>
    <s v="60 000 ч"/>
  </r>
  <r>
    <x v="544"/>
    <x v="148"/>
    <x v="73"/>
    <n v="144"/>
    <s v="SB-00016120"/>
    <s v="Г, 65"/>
    <x v="1"/>
    <x v="3"/>
    <x v="2"/>
    <s v="≥0,95"/>
    <s v="Аргос (с защитой от 380В и грозозащитой)"/>
    <s v="I"/>
    <s v="ПММА LEDiL "/>
    <s v="&lt;1%"/>
    <x v="5"/>
    <n v="70"/>
    <s v="Osram Duris S8 72шт"/>
    <s v="525мА"/>
    <x v="1"/>
    <s v="Литой экструдированный алюминиевый анодированный профиль"/>
    <s v="Поворотный кронштейн с хомутом на трубу до 50.8мм"/>
    <x v="75"/>
    <n v="0.02"/>
    <x v="53"/>
    <x v="2"/>
    <s v="60 000 ч"/>
  </r>
  <r>
    <x v="545"/>
    <x v="148"/>
    <x v="73"/>
    <n v="144"/>
    <s v="SB-00016121"/>
    <s v="Д, 100"/>
    <x v="1"/>
    <x v="7"/>
    <x v="2"/>
    <s v="≥0,95"/>
    <s v="Аргос (с защитой от 380В и грозозащитой)"/>
    <s v="I"/>
    <s v="ПММА LEDiL "/>
    <s v="&lt;1%"/>
    <x v="5"/>
    <n v="70"/>
    <s v="Osram Duris S8 72шт"/>
    <s v="525мА"/>
    <x v="1"/>
    <s v="Литой экструдированный алюминиевый анодированный профиль"/>
    <s v="Поворотный кронштейн с хомутом на трубу до 50.8мм"/>
    <x v="75"/>
    <n v="0.02"/>
    <x v="53"/>
    <x v="2"/>
    <s v="60 000 ч"/>
  </r>
  <r>
    <x v="546"/>
    <x v="148"/>
    <x v="73"/>
    <n v="144"/>
    <s v="SB-00016122"/>
    <s v="Овал 30x120"/>
    <x v="1"/>
    <x v="3"/>
    <x v="2"/>
    <s v="≥0,95"/>
    <s v="Аргос (с защитой от 380В и грозозащитой)"/>
    <s v="I"/>
    <s v="ПММА LEDiL "/>
    <s v="&lt;1%"/>
    <x v="5"/>
    <n v="70"/>
    <s v="Osram Duris S8 72шт"/>
    <s v="525мА"/>
    <x v="1"/>
    <s v="Литой экструдированный алюминиевый анодированный профиль"/>
    <s v="Поворотный кронштейн с хомутом на трубу до 50.8мм"/>
    <x v="75"/>
    <n v="0.02"/>
    <x v="53"/>
    <x v="2"/>
    <s v="60 000 ч"/>
  </r>
  <r>
    <x v="547"/>
    <x v="148"/>
    <x v="73"/>
    <n v="144"/>
    <s v="SB-00016123"/>
    <s v="Ш, 150"/>
    <x v="1"/>
    <x v="7"/>
    <x v="2"/>
    <s v="≥0,95"/>
    <s v="Аргос (с защитой от 380В и грозозащитой)"/>
    <s v="I"/>
    <s v="ПММА LEDiL "/>
    <s v="&lt;1%"/>
    <x v="5"/>
    <n v="70"/>
    <s v="Osram Duris S8 72шт"/>
    <s v="525мА"/>
    <x v="1"/>
    <s v="Литой экструдированный алюминиевый анодированный профиль"/>
    <s v="Поворотный кронштейн с хомутом на трубу до 50.8мм"/>
    <x v="75"/>
    <n v="0.02"/>
    <x v="53"/>
    <x v="2"/>
    <s v="60 000 ч"/>
  </r>
  <r>
    <x v="548"/>
    <x v="148"/>
    <x v="73"/>
    <n v="144"/>
    <s v="SB-00016124"/>
    <s v="ШБ, 45x140"/>
    <x v="1"/>
    <x v="3"/>
    <x v="2"/>
    <s v="≥0,95"/>
    <s v="Аргос (с защитой от 380В и грозозащитой)"/>
    <s v="I"/>
    <s v="ПММА LEDiL "/>
    <s v="&lt;1%"/>
    <x v="5"/>
    <n v="70"/>
    <s v="Osram Duris S8 72шт"/>
    <s v="525мА"/>
    <x v="1"/>
    <s v="Литой экструдированный алюминиевый анодированный профиль"/>
    <s v="Поворотный кронштейн с хомутом на трубу до 50.8мм"/>
    <x v="75"/>
    <n v="0.02"/>
    <x v="53"/>
    <x v="2"/>
    <s v="60 000 ч"/>
  </r>
  <r>
    <x v="549"/>
    <x v="148"/>
    <x v="73"/>
    <n v="144"/>
    <s v="SB-00016125"/>
    <s v="ШБ, 45x140"/>
    <x v="1"/>
    <x v="7"/>
    <x v="2"/>
    <s v="≥0,95"/>
    <s v="Аргос (с защитой от 380В и грозозащитой)"/>
    <s v="I"/>
    <s v="ПММА LEDiL "/>
    <s v="&lt;1%"/>
    <x v="5"/>
    <n v="70"/>
    <s v="Osram Duris S8 72шт"/>
    <s v="525мА"/>
    <x v="1"/>
    <s v="Литой экструдированный алюминиевый анодированный профиль"/>
    <s v="Консоль на трубу до 55мм"/>
    <x v="119"/>
    <n v="0.02"/>
    <x v="53"/>
    <x v="2"/>
    <s v="60 000 ч"/>
  </r>
  <r>
    <x v="550"/>
    <x v="149"/>
    <x v="48"/>
    <n v="147"/>
    <s v="SB-00008812"/>
    <s v="К, 20"/>
    <x v="1"/>
    <x v="3"/>
    <x v="2"/>
    <s v="≥0,95"/>
    <s v="Аргос (с защитой от 380В и грозозащитой)"/>
    <s v="I"/>
    <s v="ПММА LEDiL "/>
    <s v="&lt;1%"/>
    <x v="5"/>
    <n v="70"/>
    <s v="Osram Duris S8 2*36шт"/>
    <s v="525мА"/>
    <x v="1"/>
    <s v="Литой экструдированный алюминиевый анодированный профиль"/>
    <s v="Поворотная лира"/>
    <x v="79"/>
    <n v="0.02"/>
    <x v="26"/>
    <x v="2"/>
    <s v="60 000 ч"/>
  </r>
  <r>
    <x v="551"/>
    <x v="149"/>
    <x v="48"/>
    <n v="147"/>
    <s v="SB-00008813"/>
    <s v="К, 35"/>
    <x v="1"/>
    <x v="7"/>
    <x v="2"/>
    <s v="≥0,95"/>
    <s v="Аргос (с защитой от 380В и грозозащитой)"/>
    <s v="I"/>
    <s v="ПММА LEDiL "/>
    <s v="&lt;1%"/>
    <x v="5"/>
    <n v="70"/>
    <s v="Osram Duris S8 2*36шт"/>
    <s v="525мА"/>
    <x v="1"/>
    <s v="Литой экструдированный алюминиевый анодированный профиль"/>
    <s v="Поворотная лира"/>
    <x v="79"/>
    <n v="0.02"/>
    <x v="26"/>
    <x v="2"/>
    <s v="60 000 ч"/>
  </r>
  <r>
    <x v="552"/>
    <x v="149"/>
    <x v="48"/>
    <n v="147"/>
    <s v="SB-00008814"/>
    <s v="Г, 65"/>
    <x v="1"/>
    <x v="3"/>
    <x v="2"/>
    <s v="≥0,95"/>
    <s v="Аргос (с защитой от 380В и грозозащитой)"/>
    <s v="I"/>
    <s v="ПММА LEDiL "/>
    <s v="&lt;1%"/>
    <x v="5"/>
    <n v="70"/>
    <s v="Osram Duris S8 2*36шт"/>
    <s v="525мА"/>
    <x v="1"/>
    <s v="Литой экструдированный алюминиевый анодированный профиль"/>
    <s v="Поворотная лира"/>
    <x v="79"/>
    <n v="0.02"/>
    <x v="26"/>
    <x v="2"/>
    <s v="60 000 ч"/>
  </r>
  <r>
    <x v="553"/>
    <x v="149"/>
    <x v="48"/>
    <n v="147"/>
    <s v="SB-00013182"/>
    <s v="ШБ, 45x140"/>
    <x v="1"/>
    <x v="7"/>
    <x v="2"/>
    <s v="≥0,95"/>
    <s v="Аргос (с защитой от 380В и грозозащитой)"/>
    <s v="I"/>
    <s v="ПММА LEDiL "/>
    <s v="&lt;1%"/>
    <x v="5"/>
    <n v="70"/>
    <s v="Osram Duris S8 2*36шт"/>
    <s v="525мА"/>
    <x v="1"/>
    <s v="Литой экструдированный алюминиевый анодированный профиль"/>
    <s v="Поворотная лира"/>
    <x v="79"/>
    <n v="0.02"/>
    <x v="26"/>
    <x v="2"/>
    <s v="60 000 ч"/>
  </r>
  <r>
    <x v="554"/>
    <x v="150"/>
    <x v="49"/>
    <n v="147"/>
    <s v="SB-00008815"/>
    <s v="К, 20"/>
    <x v="1"/>
    <x v="3"/>
    <x v="2"/>
    <s v="≥0,95"/>
    <s v="Аргос (с защитой от 380В и грозозащитой)"/>
    <s v="I"/>
    <s v="ПММА LEDiL "/>
    <s v="&lt;1%"/>
    <x v="5"/>
    <n v="70"/>
    <s v="Osram Duris S8 3*36шт"/>
    <s v="525мА"/>
    <x v="1"/>
    <s v="Литой экструдированный алюминиевый анодированный профиль"/>
    <s v="Поворотная лира"/>
    <x v="80"/>
    <n v="0.03"/>
    <x v="27"/>
    <x v="2"/>
    <s v="60 000 ч"/>
  </r>
  <r>
    <x v="555"/>
    <x v="150"/>
    <x v="49"/>
    <n v="147"/>
    <s v="SB-00008816"/>
    <s v="К, 35"/>
    <x v="1"/>
    <x v="7"/>
    <x v="2"/>
    <s v="≥0,95"/>
    <s v="Аргос (с защитой от 380В и грозозащитой)"/>
    <s v="I"/>
    <s v="ПММА LEDiL "/>
    <s v="&lt;1%"/>
    <x v="5"/>
    <n v="70"/>
    <s v="Osram Duris S8 3*36шт"/>
    <s v="525мА"/>
    <x v="1"/>
    <s v="Литой экструдированный алюминиевый анодированный профиль"/>
    <s v="Поворотная лира"/>
    <x v="80"/>
    <n v="0.03"/>
    <x v="27"/>
    <x v="2"/>
    <s v="60 000 ч"/>
  </r>
  <r>
    <x v="556"/>
    <x v="150"/>
    <x v="49"/>
    <n v="147"/>
    <s v="SB-00008817"/>
    <s v="Г, 65"/>
    <x v="1"/>
    <x v="3"/>
    <x v="2"/>
    <s v="≥0,95"/>
    <s v="Аргос (с защитой от 380В и грозозащитой)"/>
    <s v="I"/>
    <s v="ПММА LEDiL "/>
    <s v="&lt;1%"/>
    <x v="5"/>
    <n v="70"/>
    <s v="Osram Duris S8 3*36шт"/>
    <s v="525мА"/>
    <x v="1"/>
    <s v="Литой экструдированный алюминиевый анодированный профиль"/>
    <s v="Поворотная лира"/>
    <x v="80"/>
    <n v="0.03"/>
    <x v="27"/>
    <x v="2"/>
    <s v="60 000 ч"/>
  </r>
  <r>
    <x v="557"/>
    <x v="150"/>
    <x v="49"/>
    <n v="147"/>
    <s v="SB-00013183"/>
    <s v="ШБ, 45x140"/>
    <x v="1"/>
    <x v="7"/>
    <x v="2"/>
    <s v="≥0,95"/>
    <s v="Аргос (с защитой от 380В и грозозащитой)"/>
    <s v="I"/>
    <s v="ПММА LEDiL "/>
    <s v="&lt;1%"/>
    <x v="5"/>
    <n v="70"/>
    <s v="Osram Duris S8 3*36шт"/>
    <s v="525мА"/>
    <x v="1"/>
    <s v="Литой экструдированный алюминиевый анодированный профиль"/>
    <s v="Поворотная лира"/>
    <x v="80"/>
    <n v="0.03"/>
    <x v="27"/>
    <x v="2"/>
    <s v="60 000 ч"/>
  </r>
  <r>
    <x v="558"/>
    <x v="151"/>
    <x v="50"/>
    <n v="150"/>
    <s v="SB-00008821"/>
    <s v="К, 20"/>
    <x v="1"/>
    <x v="3"/>
    <x v="2"/>
    <s v="≥0,95"/>
    <s v="Аргос (с защитой от 380В и грозозащитой)"/>
    <s v="I"/>
    <s v="ПММА LEDiL "/>
    <s v="&lt;1%"/>
    <x v="5"/>
    <n v="70"/>
    <s v="Osram Duris S8 2*48шт"/>
    <s v="525мА"/>
    <x v="1"/>
    <s v="Литой экструдированный алюминиевый анодированный профиль"/>
    <s v="Поворотная лира"/>
    <x v="81"/>
    <n v="0.02"/>
    <x v="28"/>
    <x v="2"/>
    <s v="60 000 ч"/>
  </r>
  <r>
    <x v="559"/>
    <x v="151"/>
    <x v="50"/>
    <n v="150"/>
    <s v="SB-00008822"/>
    <s v="К, 35"/>
    <x v="1"/>
    <x v="7"/>
    <x v="2"/>
    <s v="≥0,95"/>
    <s v="Аргос (с защитой от 380В и грозозащитой)"/>
    <s v="I"/>
    <s v="ПММА LEDiL "/>
    <s v="&lt;1%"/>
    <x v="5"/>
    <n v="70"/>
    <s v="Osram Duris S8 2*48шт"/>
    <s v="525мА"/>
    <x v="1"/>
    <s v="Литой экструдированный алюминиевый анодированный профиль"/>
    <s v="Поворотная лира"/>
    <x v="81"/>
    <n v="0.02"/>
    <x v="28"/>
    <x v="2"/>
    <s v="60 000 ч"/>
  </r>
  <r>
    <x v="560"/>
    <x v="151"/>
    <x v="50"/>
    <n v="150"/>
    <s v="SB-00008823"/>
    <s v="Г, 65"/>
    <x v="1"/>
    <x v="3"/>
    <x v="2"/>
    <s v="≥0,95"/>
    <s v="Аргос (с защитой от 380В и грозозащитой)"/>
    <s v="I"/>
    <s v="ПММА LEDiL "/>
    <s v="&lt;1%"/>
    <x v="5"/>
    <n v="70"/>
    <s v="Osram Duris S8 2*48шт"/>
    <s v="525мА"/>
    <x v="1"/>
    <s v="Литой экструдированный алюминиевый анодированный профиль"/>
    <s v="Поворотная лира"/>
    <x v="81"/>
    <n v="0.02"/>
    <x v="28"/>
    <x v="2"/>
    <s v="60 000 ч"/>
  </r>
  <r>
    <x v="561"/>
    <x v="151"/>
    <x v="50"/>
    <n v="150"/>
    <s v="SB-00013184"/>
    <s v="ШБ, 45x140"/>
    <x v="1"/>
    <x v="7"/>
    <x v="2"/>
    <s v="≥0,95"/>
    <s v="Аргос (с защитой от 380В и грозозащитой)"/>
    <s v="I"/>
    <s v="ПММА LEDiL "/>
    <s v="&lt;1%"/>
    <x v="5"/>
    <n v="70"/>
    <s v="Osram Duris S8 2*48шт"/>
    <s v="525мА"/>
    <x v="1"/>
    <s v="Литой экструдированный алюминиевый анодированный профиль"/>
    <s v="Поворотная лира"/>
    <x v="81"/>
    <n v="0.02"/>
    <x v="28"/>
    <x v="2"/>
    <s v="60 000 ч"/>
  </r>
  <r>
    <x v="562"/>
    <x v="152"/>
    <x v="51"/>
    <n v="150"/>
    <s v="SB-00008824"/>
    <s v="К, 20"/>
    <x v="1"/>
    <x v="3"/>
    <x v="2"/>
    <s v="≥0,95"/>
    <s v="Аргос (с защитой от 380В и грозозащитой)"/>
    <s v="I"/>
    <s v="ПММА LEDiL "/>
    <s v="&lt;1%"/>
    <x v="5"/>
    <n v="70"/>
    <s v="Osram Duris S8 3*48шт"/>
    <s v="525мА"/>
    <x v="1"/>
    <s v="Литой экструдированный алюминиевый анодированный профиль"/>
    <s v="Поворотная лира"/>
    <x v="82"/>
    <n v="0.03"/>
    <x v="29"/>
    <x v="2"/>
    <s v="60 000 ч"/>
  </r>
  <r>
    <x v="563"/>
    <x v="152"/>
    <x v="51"/>
    <n v="150"/>
    <s v="SB-00008825"/>
    <s v="К, 35"/>
    <x v="1"/>
    <x v="7"/>
    <x v="2"/>
    <s v="≥0,95"/>
    <s v="Аргос (с защитой от 380В и грозозащитой)"/>
    <s v="I"/>
    <s v="ПММА LEDiL "/>
    <s v="&lt;1%"/>
    <x v="5"/>
    <n v="70"/>
    <s v="Osram Duris S8 3*48шт"/>
    <s v="525мА"/>
    <x v="1"/>
    <s v="Литой экструдированный алюминиевый анодированный профиль"/>
    <s v="Поворотная лира"/>
    <x v="82"/>
    <n v="0.03"/>
    <x v="29"/>
    <x v="2"/>
    <s v="60 000 ч"/>
  </r>
  <r>
    <x v="564"/>
    <x v="152"/>
    <x v="51"/>
    <n v="150"/>
    <s v="SB-00008826"/>
    <s v="Г, 65"/>
    <x v="1"/>
    <x v="3"/>
    <x v="2"/>
    <s v="≥0,95"/>
    <s v="Аргос (с защитой от 380В и грозозащитой)"/>
    <s v="I"/>
    <s v="ПММА LEDiL "/>
    <s v="&lt;1%"/>
    <x v="5"/>
    <n v="70"/>
    <s v="Osram Duris S8 3*48шт"/>
    <s v="525мА"/>
    <x v="1"/>
    <s v="Литой экструдированный алюминиевый анодированный профиль"/>
    <s v="Поворотная лира"/>
    <x v="82"/>
    <n v="0.03"/>
    <x v="29"/>
    <x v="2"/>
    <s v="60 000 ч"/>
  </r>
  <r>
    <x v="565"/>
    <x v="152"/>
    <x v="51"/>
    <n v="150"/>
    <s v="SB-00013185"/>
    <s v="ШБ, 45x140"/>
    <x v="1"/>
    <x v="7"/>
    <x v="2"/>
    <s v="≥0,95"/>
    <s v="Аргос (с защитой от 380В и грозозащитой)"/>
    <s v="I"/>
    <s v="ПММА LEDiL "/>
    <s v="&lt;1%"/>
    <x v="5"/>
    <n v="70"/>
    <s v="Osram Duris S8 3*48шт"/>
    <s v="525мА"/>
    <x v="1"/>
    <s v="Литой экструдированный алюминиевый анодированный профиль"/>
    <s v="Поворотная лира"/>
    <x v="82"/>
    <n v="0.03"/>
    <x v="29"/>
    <x v="2"/>
    <s v="60 000 ч"/>
  </r>
  <r>
    <x v="566"/>
    <x v="153"/>
    <x v="52"/>
    <n v="150"/>
    <s v="SB-00008827"/>
    <s v="К, 20"/>
    <x v="1"/>
    <x v="3"/>
    <x v="2"/>
    <s v="≥0,95"/>
    <s v="Аргос (с защитой от 380В и грозозащитой)"/>
    <s v="I"/>
    <s v="ПММА LEDiL "/>
    <s v="&lt;1%"/>
    <x v="5"/>
    <n v="70"/>
    <s v="Osram Duris S8 4*48шт"/>
    <s v="525мА"/>
    <x v="1"/>
    <s v="Литой экструдированный алюминиевый анодированный профиль"/>
    <s v="Поворотная лира"/>
    <x v="83"/>
    <n v="0.04"/>
    <x v="30"/>
    <x v="2"/>
    <s v="60 000 ч"/>
  </r>
  <r>
    <x v="567"/>
    <x v="153"/>
    <x v="52"/>
    <n v="150"/>
    <s v="SB-00008828"/>
    <s v="К, 35"/>
    <x v="1"/>
    <x v="7"/>
    <x v="2"/>
    <s v="≥0,95"/>
    <s v="Аргос (с защитой от 380В и грозозащитой)"/>
    <s v="I"/>
    <s v="ПММА LEDiL "/>
    <s v="&lt;1%"/>
    <x v="5"/>
    <n v="70"/>
    <s v="Osram Duris S8 4*48шт"/>
    <s v="525мА"/>
    <x v="1"/>
    <s v="Литой экструдированный алюминиевый анодированный профиль"/>
    <s v="Поворотная лира"/>
    <x v="83"/>
    <n v="0.04"/>
    <x v="30"/>
    <x v="2"/>
    <s v="60 000 ч"/>
  </r>
  <r>
    <x v="568"/>
    <x v="153"/>
    <x v="52"/>
    <n v="150"/>
    <s v="SB-00008829"/>
    <s v="Г, 65"/>
    <x v="1"/>
    <x v="3"/>
    <x v="2"/>
    <s v="≥0,95"/>
    <s v="Аргос (с защитой от 380В и грозозащитой)"/>
    <s v="I"/>
    <s v="ПММА LEDiL "/>
    <s v="&lt;1%"/>
    <x v="5"/>
    <n v="70"/>
    <s v="Osram Duris S8 4*48шт"/>
    <s v="525мА"/>
    <x v="1"/>
    <s v="Литой экструдированный алюминиевый анодированный профиль"/>
    <s v="Поворотная лира"/>
    <x v="83"/>
    <n v="0.04"/>
    <x v="30"/>
    <x v="2"/>
    <s v="60 000 ч"/>
  </r>
  <r>
    <x v="569"/>
    <x v="153"/>
    <x v="52"/>
    <n v="150"/>
    <s v="SB-00013186"/>
    <s v="ШБ, 45x140"/>
    <x v="1"/>
    <x v="7"/>
    <x v="2"/>
    <s v="≥0,95"/>
    <s v="Аргос (с защитой от 380В и грозозащитой)"/>
    <s v="I"/>
    <s v="ПММА LEDiL "/>
    <s v="&lt;1%"/>
    <x v="5"/>
    <n v="70"/>
    <s v="Osram Duris S8 4*48шт"/>
    <s v="525мА"/>
    <x v="1"/>
    <s v="Литой экструдированный алюминиевый анодированный профиль"/>
    <s v="Поворотная лира"/>
    <x v="83"/>
    <n v="0.04"/>
    <x v="30"/>
    <x v="2"/>
    <s v="6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570"/>
    <x v="154"/>
    <x v="74"/>
    <n v="160"/>
    <s v="SB-00019243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*84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120"/>
    <m/>
    <x v="0"/>
    <x v="4"/>
    <s v="100 000 ч"/>
  </r>
  <r>
    <x v="571"/>
    <x v="155"/>
    <x v="75"/>
    <n v="160"/>
    <s v="SB-00019239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*84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120"/>
    <m/>
    <x v="0"/>
    <x v="4"/>
    <s v="100 000 ч"/>
  </r>
  <r>
    <x v="572"/>
    <x v="156"/>
    <x v="76"/>
    <n v="160"/>
    <s v="SB-00019242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5*84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120"/>
    <m/>
    <x v="0"/>
    <x v="4"/>
    <s v="100 000 ч"/>
  </r>
  <r>
    <x v="573"/>
    <x v="157"/>
    <x v="64"/>
    <n v="161"/>
    <s v="SB-00019241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*132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121"/>
    <m/>
    <x v="0"/>
    <x v="4"/>
    <s v="100 000 ч"/>
  </r>
  <r>
    <x v="574"/>
    <x v="158"/>
    <x v="12"/>
    <n v="161"/>
    <s v="SB-00019240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4*132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121"/>
    <m/>
    <x v="0"/>
    <x v="4"/>
    <s v="100 000 ч"/>
  </r>
  <r>
    <x v="575"/>
    <x v="159"/>
    <x v="15"/>
    <n v="161"/>
    <s v="SB-00019238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132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121"/>
    <m/>
    <x v="0"/>
    <x v="4"/>
    <s v="100 000 ч"/>
  </r>
  <r>
    <x v="576"/>
    <x v="13"/>
    <x v="77"/>
    <n v="165"/>
    <s v="SB-00019237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*168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122"/>
    <m/>
    <x v="0"/>
    <x v="3"/>
    <s v="100 000 ч"/>
  </r>
  <r>
    <x v="577"/>
    <x v="16"/>
    <x v="14"/>
    <n v="165"/>
    <s v="SB-00019236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4*168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122"/>
    <m/>
    <x v="0"/>
    <x v="3"/>
    <s v="100 000 ч"/>
  </r>
  <r>
    <x v="578"/>
    <x v="160"/>
    <x v="69"/>
    <n v="165"/>
    <s v="SB-00019235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168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122"/>
    <m/>
    <x v="0"/>
    <x v="3"/>
    <s v="100 000 ч"/>
  </r>
  <r>
    <x v="579"/>
    <x v="161"/>
    <x v="45"/>
    <n v="161"/>
    <s v="SB-00019234"/>
    <s v="Д, 3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3"/>
    <m/>
    <x v="0"/>
    <x v="4"/>
    <s v="100 000 ч"/>
  </r>
  <r>
    <x v="580"/>
    <x v="161"/>
    <x v="45"/>
    <n v="161"/>
    <s v="SB-00019233"/>
    <s v="Д, 6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4"/>
    <m/>
    <x v="0"/>
    <x v="4"/>
    <s v="100 000 ч"/>
  </r>
  <r>
    <x v="581"/>
    <x v="162"/>
    <x v="78"/>
    <n v="161"/>
    <s v="SB-00019232"/>
    <s v="Д, 3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0"/>
    <m/>
    <x v="0"/>
    <x v="4"/>
    <s v="100 000 ч"/>
  </r>
  <r>
    <x v="582"/>
    <x v="162"/>
    <x v="78"/>
    <n v="161"/>
    <s v="SB-00019231"/>
    <s v="Д, 6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0"/>
    <m/>
    <x v="0"/>
    <x v="4"/>
    <s v="100 000 ч"/>
  </r>
  <r>
    <x v="583"/>
    <x v="163"/>
    <x v="72"/>
    <n v="161"/>
    <s v="SB-00019230"/>
    <s v="Д, 3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0"/>
    <m/>
    <x v="0"/>
    <x v="4"/>
    <s v="100 000 ч"/>
  </r>
  <r>
    <x v="584"/>
    <x v="163"/>
    <x v="72"/>
    <n v="161"/>
    <s v="SB-00019229"/>
    <s v="Д, 6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0"/>
    <m/>
    <x v="0"/>
    <x v="4"/>
    <s v="100 000 ч"/>
  </r>
  <r>
    <x v="585"/>
    <x v="164"/>
    <x v="79"/>
    <n v="173"/>
    <s v="SB-00019228"/>
    <s v="Д, 3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5"/>
    <m/>
    <x v="0"/>
    <x v="4"/>
    <s v="100 000 ч"/>
  </r>
  <r>
    <x v="586"/>
    <x v="164"/>
    <x v="79"/>
    <n v="173"/>
    <s v="SB-00019227"/>
    <s v="Д, 6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5"/>
    <m/>
    <x v="0"/>
    <x v="4"/>
    <s v="100 000 ч"/>
  </r>
  <r>
    <x v="587"/>
    <x v="165"/>
    <x v="80"/>
    <n v="173"/>
    <s v="SB-00019226"/>
    <s v="Д, 3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5"/>
    <m/>
    <x v="0"/>
    <x v="4"/>
    <s v="100 000 ч"/>
  </r>
  <r>
    <x v="588"/>
    <x v="165"/>
    <x v="80"/>
    <n v="173"/>
    <s v="SB-00019225"/>
    <s v="Д, 6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5"/>
    <m/>
    <x v="0"/>
    <x v="4"/>
    <s v="100 000 ч"/>
  </r>
  <r>
    <x v="589"/>
    <x v="166"/>
    <x v="81"/>
    <n v="173"/>
    <s v="SB-00019224"/>
    <s v="Д, 3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5"/>
    <m/>
    <x v="0"/>
    <x v="4"/>
    <s v="100 000 ч"/>
  </r>
  <r>
    <x v="590"/>
    <x v="166"/>
    <x v="81"/>
    <n v="173"/>
    <s v="SB-00019223"/>
    <s v="Д, 65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350мА"/>
    <x v="2"/>
    <s v="Литой экструдированный алюминиевый анодированный профиль + крепеж"/>
    <s v="Подвес за 1 точку. Трос в комплекте (1 метр). "/>
    <x v="125"/>
    <m/>
    <x v="0"/>
    <x v="4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591"/>
    <x v="167"/>
    <x v="53"/>
    <n v="170"/>
    <s v="SB-00012909"/>
    <s v="ШБ, 45x140"/>
    <x v="1"/>
    <x v="6"/>
    <x v="1"/>
    <s v="≥0,95"/>
    <s v="MeanWell или иной по запросу"/>
    <s v="I"/>
    <s v="ПММА LEDiL "/>
    <s v="&lt;5%"/>
    <x v="2"/>
    <n v="70"/>
    <s v="Seoul Z5M4 112шт"/>
    <s v="350 мА"/>
    <x v="1"/>
    <s v="Литой экструдированный алюминиевый анодированный профиль"/>
    <s v="Поворотный кронштейн"/>
    <x v="126"/>
    <n v="0.02"/>
    <x v="1"/>
    <x v="2"/>
    <s v="150 000 ч"/>
  </r>
  <r>
    <x v="592"/>
    <x v="167"/>
    <x v="53"/>
    <n v="170"/>
    <s v="SB-00012910"/>
    <s v="К, 30"/>
    <x v="1"/>
    <x v="6"/>
    <x v="1"/>
    <s v="≥0,95"/>
    <s v="MeanWell или иной по запросу"/>
    <s v="I"/>
    <s v="ПММА LEDiL "/>
    <s v="&lt;5%"/>
    <x v="2"/>
    <n v="70"/>
    <s v="Seoul Z5M4 112шт"/>
    <s v="350 мА"/>
    <x v="1"/>
    <s v="Литой экструдированный алюминиевый анодированный профиль"/>
    <s v="Поворотный кронштейн"/>
    <x v="126"/>
    <n v="0.02"/>
    <x v="1"/>
    <x v="2"/>
    <s v="150 000 ч"/>
  </r>
  <r>
    <x v="593"/>
    <x v="167"/>
    <x v="53"/>
    <n v="170"/>
    <s v="SB-00012911"/>
    <s v="Г, 60"/>
    <x v="1"/>
    <x v="6"/>
    <x v="1"/>
    <s v="≥0,95"/>
    <s v="MeanWell или иной по запросу"/>
    <s v="I"/>
    <s v="ПММА LEDiL "/>
    <s v="&lt;5%"/>
    <x v="2"/>
    <n v="70"/>
    <s v="Seoul Z5M4 112шт"/>
    <s v="350 мА"/>
    <x v="1"/>
    <s v="Литой экструдированный алюминиевый анодированный профиль"/>
    <s v="Поворотный кронштейн"/>
    <x v="126"/>
    <n v="0.02"/>
    <x v="1"/>
    <x v="2"/>
    <s v="150 000 ч"/>
  </r>
  <r>
    <x v="594"/>
    <x v="168"/>
    <x v="77"/>
    <n v="170"/>
    <s v="SB-00012912"/>
    <s v="ШБ, 45x140"/>
    <x v="1"/>
    <x v="6"/>
    <x v="1"/>
    <s v="≥0,95"/>
    <s v="MeanWell или иной по запросу"/>
    <s v="I"/>
    <s v="ПММА LEDiL "/>
    <s v="&lt;5%"/>
    <x v="2"/>
    <n v="70"/>
    <s v="Seoul Z5M4 168шт"/>
    <s v="350 мА"/>
    <x v="1"/>
    <s v="Литой экструдированный алюминиевый анодированный профиль"/>
    <s v="Поворотный кронштейн"/>
    <x v="127"/>
    <n v="0.03"/>
    <x v="3"/>
    <x v="2"/>
    <s v="150 000 ч"/>
  </r>
  <r>
    <x v="595"/>
    <x v="168"/>
    <x v="77"/>
    <n v="170"/>
    <s v="SB-00012913"/>
    <s v="К, 30"/>
    <x v="1"/>
    <x v="6"/>
    <x v="1"/>
    <s v="≥0,95"/>
    <s v="MeanWell или иной по запросу"/>
    <s v="I"/>
    <s v="ПММА LEDiL "/>
    <s v="&lt;5%"/>
    <x v="2"/>
    <n v="70"/>
    <s v="Seoul Z5M4 168шт"/>
    <s v="350 мА"/>
    <x v="1"/>
    <s v="Литой экструдированный алюминиевый анодированный профиль"/>
    <s v="Поворотный кронштейн"/>
    <x v="127"/>
    <n v="0.03"/>
    <x v="3"/>
    <x v="2"/>
    <s v="150 000 ч"/>
  </r>
  <r>
    <x v="596"/>
    <x v="168"/>
    <x v="77"/>
    <n v="170"/>
    <s v="SB-00012914"/>
    <s v="Г, 60"/>
    <x v="1"/>
    <x v="6"/>
    <x v="1"/>
    <s v="≥0,95"/>
    <s v="MeanWell или иной по запросу"/>
    <s v="I"/>
    <s v="ПММА LEDiL "/>
    <s v="&lt;5%"/>
    <x v="2"/>
    <n v="70"/>
    <s v="Seoul Z5M4 168шт"/>
    <s v="350 мА"/>
    <x v="1"/>
    <s v="Литой экструдированный алюминиевый анодированный профиль"/>
    <s v="Поворотный кронштейн"/>
    <x v="127"/>
    <n v="0.03"/>
    <x v="3"/>
    <x v="2"/>
    <s v="150 000 ч"/>
  </r>
  <r>
    <x v="597"/>
    <x v="169"/>
    <x v="14"/>
    <n v="170"/>
    <s v="SB-00012915"/>
    <s v="ШБ, 45x140"/>
    <x v="1"/>
    <x v="6"/>
    <x v="1"/>
    <s v="≥0,95"/>
    <s v="MeanWell или иной по запросу"/>
    <s v="I"/>
    <s v="ПММА LEDiL "/>
    <s v="&lt;5%"/>
    <x v="2"/>
    <n v="70"/>
    <s v="Seoul Z5M4 224шт"/>
    <s v="350 мА"/>
    <x v="1"/>
    <s v="Литой экструдированный алюминиевый анодированный профиль"/>
    <s v="Поворотный кронштейн"/>
    <x v="4"/>
    <n v="0.04"/>
    <x v="4"/>
    <x v="2"/>
    <s v="150 000 ч"/>
  </r>
  <r>
    <x v="598"/>
    <x v="169"/>
    <x v="14"/>
    <n v="170"/>
    <s v="SB-00012916"/>
    <s v="К, 30"/>
    <x v="1"/>
    <x v="6"/>
    <x v="1"/>
    <s v="≥0,95"/>
    <s v="MeanWell или иной по запросу"/>
    <s v="I"/>
    <s v="ПММА LEDiL "/>
    <s v="&lt;5%"/>
    <x v="2"/>
    <n v="70"/>
    <s v="Seoul Z5M4 224шт"/>
    <s v="350 мА"/>
    <x v="1"/>
    <s v="Литой экструдированный алюминиевый анодированный профиль"/>
    <s v="Поворотный кронштейн"/>
    <x v="4"/>
    <n v="0.04"/>
    <x v="4"/>
    <x v="2"/>
    <s v="150 000 ч"/>
  </r>
  <r>
    <x v="599"/>
    <x v="169"/>
    <x v="14"/>
    <n v="170"/>
    <s v="SB-00012917"/>
    <s v="Г, 60"/>
    <x v="1"/>
    <x v="6"/>
    <x v="1"/>
    <s v="≥0,95"/>
    <s v="MeanWell или иной по запросу"/>
    <s v="I"/>
    <s v="ПММА LEDiL "/>
    <s v="&lt;5%"/>
    <x v="2"/>
    <n v="70"/>
    <s v="Seoul Z5M4 224шт"/>
    <s v="350 мА"/>
    <x v="1"/>
    <s v="Литой экструдированный алюминиевый анодированный профиль"/>
    <s v="Поворотный кронштейн"/>
    <x v="4"/>
    <n v="0.04"/>
    <x v="4"/>
    <x v="2"/>
    <s v="15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600"/>
    <x v="170"/>
    <x v="39"/>
    <n v="170"/>
    <s v="SB-00010584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8шт"/>
    <s v="175 мА"/>
    <x v="1"/>
    <s v="Литой экструдированный алюминиевый анодированный профиль"/>
    <s v="Поворотный кронштейн с хомутом на трубу до 50.8мм"/>
    <x v="128"/>
    <n v="0.01"/>
    <x v="14"/>
    <x v="2"/>
    <s v="100 000 ч"/>
  </r>
  <r>
    <x v="601"/>
    <x v="170"/>
    <x v="39"/>
    <n v="170"/>
    <s v="SB-00010585"/>
    <s v="К, 3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8шт"/>
    <s v="175 мА"/>
    <x v="1"/>
    <s v="Литой экструдированный алюминиевый анодированный профиль"/>
    <s v="Поворотный кронштейн с хомутом на трубу до 50.8мм"/>
    <x v="128"/>
    <n v="0.01"/>
    <x v="14"/>
    <x v="2"/>
    <s v="100 000 ч"/>
  </r>
  <r>
    <x v="602"/>
    <x v="170"/>
    <x v="39"/>
    <n v="170"/>
    <s v="SB-00010586"/>
    <s v="Г, 6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8шт"/>
    <s v="175 мА"/>
    <x v="1"/>
    <s v="Литой экструдированный алюминиевый анодированный профиль"/>
    <s v="Поворотный кронштейн с хомутом на трубу до 50.8мм"/>
    <x v="128"/>
    <n v="0.01"/>
    <x v="14"/>
    <x v="2"/>
    <s v="100 000 ч"/>
  </r>
  <r>
    <x v="603"/>
    <x v="170"/>
    <x v="39"/>
    <n v="170"/>
    <s v="SB-00016784"/>
    <s v="Д, 9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8шт"/>
    <s v="175 мА"/>
    <x v="1"/>
    <s v="Литой экструдированный алюминиевый анодированный профиль"/>
    <s v="Поворотный кронштейн с хомутом на трубу до 50.8мм"/>
    <x v="128"/>
    <n v="0.01"/>
    <x v="14"/>
    <x v="2"/>
    <s v="100 000 ч"/>
  </r>
  <r>
    <x v="604"/>
    <x v="171"/>
    <x v="82"/>
    <n v="162"/>
    <s v="SB-00016573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8шт"/>
    <s v="262 мА"/>
    <x v="1"/>
    <s v="Литой экструдированный алюминиевый анодированный профиль"/>
    <s v="Поворотный кронштейн с хомутом на трубу до 50.8мм"/>
    <x v="129"/>
    <n v="0.01"/>
    <x v="51"/>
    <x v="2"/>
    <s v="100 000 ч"/>
  </r>
  <r>
    <x v="605"/>
    <x v="171"/>
    <x v="82"/>
    <n v="162"/>
    <s v="SB-00016572"/>
    <s v="К, 3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8шт"/>
    <s v="262 мА"/>
    <x v="1"/>
    <s v="Литой экструдированный алюминиевый анодированный профиль"/>
    <s v="Поворотный кронштейн с хомутом на трубу до 50.8мм"/>
    <x v="129"/>
    <n v="0.01"/>
    <x v="51"/>
    <x v="2"/>
    <s v="100 000 ч"/>
  </r>
  <r>
    <x v="606"/>
    <x v="171"/>
    <x v="82"/>
    <n v="162"/>
    <s v="SB-00016574"/>
    <s v="Г, 6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8шт"/>
    <s v="262 мА"/>
    <x v="1"/>
    <s v="Литой экструдированный алюминиевый анодированный профиль"/>
    <s v="Поворотный кронштейн с хомутом на трубу до 50.8мм"/>
    <x v="129"/>
    <n v="0.01"/>
    <x v="51"/>
    <x v="2"/>
    <s v="100 000 ч"/>
  </r>
  <r>
    <x v="607"/>
    <x v="171"/>
    <x v="82"/>
    <n v="162"/>
    <s v="SB-00016785"/>
    <s v="Д, 9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8шт"/>
    <s v="262 мА"/>
    <x v="1"/>
    <s v="Литой экструдированный алюминиевый анодированный профиль"/>
    <s v="Поворотный кронштейн с хомутом на трубу до 50.8мм"/>
    <x v="129"/>
    <n v="0.01"/>
    <x v="51"/>
    <x v="2"/>
    <s v="100 000 ч"/>
  </r>
  <r>
    <x v="608"/>
    <x v="172"/>
    <x v="61"/>
    <n v="170"/>
    <s v="SB-00011846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56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0"/>
    <n v="0.01"/>
    <x v="38"/>
    <x v="2"/>
    <s v="100 000 ч"/>
  </r>
  <r>
    <x v="609"/>
    <x v="172"/>
    <x v="61"/>
    <n v="170"/>
    <s v="SB-00011847"/>
    <s v="К, 3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56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0"/>
    <n v="0.01"/>
    <x v="38"/>
    <x v="2"/>
    <s v="100 000 ч"/>
  </r>
  <r>
    <x v="610"/>
    <x v="172"/>
    <x v="61"/>
    <n v="170"/>
    <s v="SB-00010589"/>
    <s v="Г, 6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56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0"/>
    <n v="0.01"/>
    <x v="38"/>
    <x v="2"/>
    <s v="100 000 ч"/>
  </r>
  <r>
    <x v="611"/>
    <x v="172"/>
    <x v="61"/>
    <n v="170"/>
    <s v="SB-00016787"/>
    <s v="Д, 9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56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0"/>
    <n v="0.01"/>
    <x v="38"/>
    <x v="2"/>
    <s v="100 000 ч"/>
  </r>
  <r>
    <x v="612"/>
    <x v="173"/>
    <x v="83"/>
    <n v="170"/>
    <s v="SB-00010538"/>
    <s v="ШБ, 45x14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84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1"/>
    <n v="0.01"/>
    <x v="54"/>
    <x v="2"/>
    <s v="100 000 ч"/>
  </r>
  <r>
    <x v="613"/>
    <x v="173"/>
    <x v="83"/>
    <n v="170"/>
    <s v="SB-00011850"/>
    <s v="К, 3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84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1"/>
    <n v="0.01"/>
    <x v="54"/>
    <x v="2"/>
    <s v="100 000 ч"/>
  </r>
  <r>
    <x v="614"/>
    <x v="173"/>
    <x v="83"/>
    <n v="170"/>
    <s v="SB-00011851"/>
    <s v="Г, 6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12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1"/>
    <n v="0.01"/>
    <x v="54"/>
    <x v="2"/>
    <s v="100 000 ч"/>
  </r>
  <r>
    <x v="615"/>
    <x v="173"/>
    <x v="83"/>
    <n v="170"/>
    <s v="SB-00016788"/>
    <s v="Д, 9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12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1"/>
    <n v="0.01"/>
    <x v="54"/>
    <x v="2"/>
    <s v="100 000 ч"/>
  </r>
  <r>
    <x v="616"/>
    <x v="167"/>
    <x v="53"/>
    <n v="170"/>
    <s v="SB-00015512"/>
    <s v="ШБ, 45x14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12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2"/>
    <n v="3.5000000000000003E-2"/>
    <x v="55"/>
    <x v="2"/>
    <s v="100 000 ч"/>
  </r>
  <r>
    <x v="617"/>
    <x v="167"/>
    <x v="53"/>
    <n v="170"/>
    <s v="SB-00015513"/>
    <s v="К, 3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12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2"/>
    <n v="3.5000000000000003E-2"/>
    <x v="55"/>
    <x v="2"/>
    <s v="100 000 ч"/>
  </r>
  <r>
    <x v="618"/>
    <x v="167"/>
    <x v="53"/>
    <n v="170"/>
    <s v="SB-00015514"/>
    <s v="Г, 6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12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2"/>
    <n v="3.5000000000000003E-2"/>
    <x v="55"/>
    <x v="2"/>
    <s v="100 000 ч"/>
  </r>
  <r>
    <x v="619"/>
    <x v="167"/>
    <x v="53"/>
    <n v="170"/>
    <s v="SB-00016789"/>
    <s v="Д, 9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12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2"/>
    <n v="3.5000000000000003E-2"/>
    <x v="55"/>
    <x v="2"/>
    <s v="100 000 ч"/>
  </r>
  <r>
    <x v="620"/>
    <x v="168"/>
    <x v="77"/>
    <n v="170"/>
    <s v="SB-00014682"/>
    <s v="ШБ, 45x14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68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3"/>
    <n v="3.4000000000000002E-2"/>
    <x v="56"/>
    <x v="2"/>
    <s v="100 000 ч"/>
  </r>
  <r>
    <x v="621"/>
    <x v="168"/>
    <x v="77"/>
    <n v="170"/>
    <s v="SB-00015515"/>
    <s v="К, 3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68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3"/>
    <n v="3.4000000000000002E-2"/>
    <x v="56"/>
    <x v="2"/>
    <s v="100 000 ч"/>
  </r>
  <r>
    <x v="622"/>
    <x v="168"/>
    <x v="77"/>
    <n v="170"/>
    <s v="SB-00015516"/>
    <s v="Г, 6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68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3"/>
    <n v="3.4000000000000002E-2"/>
    <x v="56"/>
    <x v="2"/>
    <s v="100 000 ч"/>
  </r>
  <r>
    <x v="623"/>
    <x v="168"/>
    <x v="77"/>
    <n v="170"/>
    <s v="SB-00017482"/>
    <s v="Д, 9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68шт"/>
    <s v="175 мА"/>
    <x v="1"/>
    <s v="Литой экструдированный алюминиевый анодированный профиль"/>
    <s v="Поворотный кронштейн с хомутом на трубу до 50.8мм"/>
    <x v="133"/>
    <n v="3.4000000000000002E-2"/>
    <x v="56"/>
    <x v="2"/>
    <s v="100 000 ч"/>
  </r>
  <r>
    <x v="624"/>
    <x v="174"/>
    <x v="84"/>
    <n v="162"/>
    <s v="SB-00016790"/>
    <s v="К, 3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84шт"/>
    <s v="262 мА"/>
    <x v="1"/>
    <s v="Литой экструдированный алюминиевый анодированный профиль"/>
    <s v="Поворотный кронштейн"/>
    <x v="134"/>
    <n v="0.03"/>
    <x v="57"/>
    <x v="2"/>
    <s v="100 000 ч"/>
  </r>
  <r>
    <x v="625"/>
    <x v="174"/>
    <x v="84"/>
    <n v="162"/>
    <s v="SB-00016791"/>
    <s v="Г, 6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84шт"/>
    <s v="262 мА"/>
    <x v="1"/>
    <s v="Литой экструдированный алюминиевый анодированный профиль"/>
    <s v="Поворотный кронштейн"/>
    <x v="134"/>
    <n v="0.03"/>
    <x v="57"/>
    <x v="2"/>
    <s v="100 000 ч"/>
  </r>
  <r>
    <x v="626"/>
    <x v="174"/>
    <x v="84"/>
    <n v="162"/>
    <s v="SB-00016792"/>
    <s v="Д, 9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84шт"/>
    <s v="262 мА"/>
    <x v="1"/>
    <s v="Литой экструдированный алюминиевый анодированный профиль"/>
    <s v="Поворотный кронштейн"/>
    <x v="134"/>
    <n v="0.03"/>
    <x v="57"/>
    <x v="2"/>
    <s v="100 000 ч"/>
  </r>
  <r>
    <x v="627"/>
    <x v="174"/>
    <x v="84"/>
    <n v="162"/>
    <s v="SB-00016793"/>
    <s v="ШБ, 45x14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84шт"/>
    <s v="262 мА"/>
    <x v="1"/>
    <s v="Литой экструдированный алюминиевый анодированный профиль"/>
    <s v="Поворотный кронштейн"/>
    <x v="134"/>
    <n v="0.03"/>
    <x v="57"/>
    <x v="2"/>
    <s v="100 000 ч"/>
  </r>
  <r>
    <x v="628"/>
    <x v="175"/>
    <x v="77"/>
    <n v="169"/>
    <s v="SB-00016794"/>
    <s v="К, 3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68шт"/>
    <s v="175 мА"/>
    <x v="1"/>
    <s v="Литой экструдированный алюминиевый анодированный профиль"/>
    <s v="Поворотный кронштейн"/>
    <x v="135"/>
    <n v="0.04"/>
    <x v="58"/>
    <x v="2"/>
    <s v="100 000 ч"/>
  </r>
  <r>
    <x v="629"/>
    <x v="175"/>
    <x v="77"/>
    <n v="169"/>
    <s v="SB-00016795"/>
    <s v="Г, 6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68шт"/>
    <s v="175 мА"/>
    <x v="1"/>
    <s v="Литой экструдированный алюминиевый анодированный профиль"/>
    <s v="Поворотный кронштейн"/>
    <x v="135"/>
    <n v="0.04"/>
    <x v="58"/>
    <x v="2"/>
    <s v="100 000 ч"/>
  </r>
  <r>
    <x v="630"/>
    <x v="175"/>
    <x v="77"/>
    <n v="169"/>
    <s v="SB-00016796"/>
    <s v="Д, 90"/>
    <x v="1"/>
    <x v="3"/>
    <x v="2"/>
    <s v="≥0,95"/>
    <s v="Аргос/Трион с защитой от 380В или иной по запросу"/>
    <s v="I"/>
    <s v="ПММА LEDiL "/>
    <s v="&lt;1%"/>
    <x v="2"/>
    <n v="70"/>
    <s v="Osram Duris S8 168шт"/>
    <s v="175 мА"/>
    <x v="1"/>
    <s v="Литой экструдированный алюминиевый анодированный профиль"/>
    <s v="Поворотный кронштейн"/>
    <x v="135"/>
    <n v="0.04"/>
    <x v="58"/>
    <x v="2"/>
    <s v="100 000 ч"/>
  </r>
  <r>
    <x v="631"/>
    <x v="175"/>
    <x v="77"/>
    <n v="169"/>
    <s v="SB-00016797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168шт"/>
    <s v="175 мА"/>
    <x v="1"/>
    <s v="Литой экструдированный алюминиевый анодированный профиль"/>
    <s v="Поворотный кронштейн"/>
    <x v="135"/>
    <n v="0.04"/>
    <x v="58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632"/>
    <x v="176"/>
    <x v="61"/>
    <n v="150"/>
    <s v="SB-00016064"/>
    <s v="К, 38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6"/>
    <n v="0.2"/>
    <x v="0"/>
    <x v="11"/>
    <s v="100 000 ч"/>
  </r>
  <r>
    <x v="633"/>
    <x v="176"/>
    <x v="61"/>
    <n v="150"/>
    <s v="SB-00016065"/>
    <s v="Г, 4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6"/>
    <n v="0.2"/>
    <x v="0"/>
    <x v="11"/>
    <s v="100 000 ч"/>
  </r>
  <r>
    <x v="634"/>
    <x v="176"/>
    <x v="61"/>
    <n v="150"/>
    <s v="SB-00016066"/>
    <s v="Г, 6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6"/>
    <n v="0.2"/>
    <x v="0"/>
    <x v="11"/>
    <s v="100 000 ч"/>
  </r>
  <r>
    <x v="635"/>
    <x v="176"/>
    <x v="61"/>
    <n v="150"/>
    <s v="SB-00016067"/>
    <s v="Д, 9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6"/>
    <n v="0.2"/>
    <x v="0"/>
    <x v="11"/>
    <s v="100 000 ч"/>
  </r>
  <r>
    <x v="636"/>
    <x v="176"/>
    <x v="61"/>
    <n v="150"/>
    <s v="SB-00016068"/>
    <s v="Ш, 135x7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6"/>
    <n v="0.2"/>
    <x v="0"/>
    <x v="11"/>
    <s v="100 000 ч"/>
  </r>
  <r>
    <x v="637"/>
    <x v="176"/>
    <x v="61"/>
    <n v="150"/>
    <s v="SB-00016243"/>
    <s v="Ш, 135x7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Консоль на трубу до 55мм"/>
    <x v="137"/>
    <n v="0.2"/>
    <x v="0"/>
    <x v="11"/>
    <s v="100 000 ч"/>
  </r>
  <r>
    <x v="638"/>
    <x v="176"/>
    <x v="61"/>
    <n v="150"/>
    <s v="SB-00016069"/>
    <s v="Д, 12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6"/>
    <n v="0.2"/>
    <x v="0"/>
    <x v="11"/>
    <s v="100 000 ч"/>
  </r>
  <r>
    <x v="639"/>
    <x v="177"/>
    <x v="53"/>
    <n v="150"/>
    <s v="SB-00016070"/>
    <s v="К, 38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8"/>
    <n v="0.2"/>
    <x v="0"/>
    <x v="11"/>
    <s v="100 000 ч"/>
  </r>
  <r>
    <x v="640"/>
    <x v="177"/>
    <x v="53"/>
    <n v="150"/>
    <s v="SB-00016071"/>
    <s v="Г, 4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8"/>
    <n v="0.2"/>
    <x v="0"/>
    <x v="11"/>
    <s v="100 000 ч"/>
  </r>
  <r>
    <x v="641"/>
    <x v="177"/>
    <x v="53"/>
    <n v="150"/>
    <s v="SB-00016072"/>
    <s v="Г, 6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8"/>
    <n v="0.2"/>
    <x v="0"/>
    <x v="11"/>
    <s v="100 000 ч"/>
  </r>
  <r>
    <x v="642"/>
    <x v="177"/>
    <x v="53"/>
    <n v="150"/>
    <s v="SB-00016073"/>
    <s v="Д, 9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8"/>
    <n v="0.2"/>
    <x v="0"/>
    <x v="11"/>
    <s v="100 000 ч"/>
  </r>
  <r>
    <x v="643"/>
    <x v="177"/>
    <x v="53"/>
    <n v="150"/>
    <s v="SB-00016074"/>
    <s v="Ш, 135x7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8"/>
    <n v="0.2"/>
    <x v="0"/>
    <x v="11"/>
    <s v="100 000 ч"/>
  </r>
  <r>
    <x v="644"/>
    <x v="177"/>
    <x v="53"/>
    <n v="150"/>
    <s v="SB-00016244"/>
    <s v="Ш, 135x7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Консоль на трубу до 55мм"/>
    <x v="139"/>
    <n v="0.2"/>
    <x v="0"/>
    <x v="11"/>
    <s v="100 000 ч"/>
  </r>
  <r>
    <x v="645"/>
    <x v="177"/>
    <x v="53"/>
    <n v="150"/>
    <s v="SB-00016075"/>
    <s v="Д, 12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38"/>
    <n v="0.2"/>
    <x v="0"/>
    <x v="11"/>
    <s v="100 000 ч"/>
  </r>
  <r>
    <x v="646"/>
    <x v="178"/>
    <x v="77"/>
    <n v="150"/>
    <s v="SB-00016076"/>
    <s v="К, 38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0"/>
    <n v="0.2"/>
    <x v="0"/>
    <x v="11"/>
    <s v="100 000 ч"/>
  </r>
  <r>
    <x v="647"/>
    <x v="178"/>
    <x v="77"/>
    <n v="150"/>
    <s v="SB-00016077"/>
    <s v="Г, 4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0"/>
    <n v="0.2"/>
    <x v="0"/>
    <x v="11"/>
    <s v="100 000 ч"/>
  </r>
  <r>
    <x v="648"/>
    <x v="178"/>
    <x v="77"/>
    <n v="150"/>
    <s v="SB-00016078"/>
    <s v="Г, 6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0"/>
    <n v="0.2"/>
    <x v="0"/>
    <x v="11"/>
    <s v="100 000 ч"/>
  </r>
  <r>
    <x v="649"/>
    <x v="178"/>
    <x v="77"/>
    <n v="150"/>
    <s v="SB-00016079"/>
    <s v="Д, 9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0"/>
    <n v="0.2"/>
    <x v="0"/>
    <x v="11"/>
    <s v="100 000 ч"/>
  </r>
  <r>
    <x v="650"/>
    <x v="178"/>
    <x v="77"/>
    <n v="150"/>
    <s v="SB-00016080"/>
    <s v="Ш, 135x7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0"/>
    <n v="0.2"/>
    <x v="0"/>
    <x v="11"/>
    <s v="100 000 ч"/>
  </r>
  <r>
    <x v="651"/>
    <x v="178"/>
    <x v="77"/>
    <n v="150"/>
    <s v="SB-00016245"/>
    <s v="Ш, 135x7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Консоль на трубу до 55мм"/>
    <x v="141"/>
    <n v="0.2"/>
    <x v="0"/>
    <x v="11"/>
    <s v="100 000 ч"/>
  </r>
  <r>
    <x v="652"/>
    <x v="178"/>
    <x v="77"/>
    <n v="150"/>
    <s v="SB-00016081"/>
    <s v="Д, 12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0"/>
    <n v="0.2"/>
    <x v="0"/>
    <x v="11"/>
    <s v="100 000 ч"/>
  </r>
  <r>
    <x v="653"/>
    <x v="179"/>
    <x v="14"/>
    <n v="150"/>
    <s v="SB-00016082"/>
    <s v="К, 38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2"/>
    <n v="0.2"/>
    <x v="0"/>
    <x v="11"/>
    <s v="100 000 ч"/>
  </r>
  <r>
    <x v="654"/>
    <x v="179"/>
    <x v="14"/>
    <n v="150"/>
    <s v="SB-00016083"/>
    <s v="Г, 4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2"/>
    <n v="0.2"/>
    <x v="0"/>
    <x v="11"/>
    <s v="100 000 ч"/>
  </r>
  <r>
    <x v="655"/>
    <x v="179"/>
    <x v="14"/>
    <n v="150"/>
    <s v="SB-00016084"/>
    <s v="Г, 6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2"/>
    <n v="0.2"/>
    <x v="0"/>
    <x v="11"/>
    <s v="100 000 ч"/>
  </r>
  <r>
    <x v="656"/>
    <x v="179"/>
    <x v="14"/>
    <n v="150"/>
    <s v="SB-00016085"/>
    <s v="Д, 9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2"/>
    <n v="0.2"/>
    <x v="0"/>
    <x v="11"/>
    <s v="100 000 ч"/>
  </r>
  <r>
    <x v="657"/>
    <x v="179"/>
    <x v="14"/>
    <n v="150"/>
    <s v="SB-00016086"/>
    <s v="Ш, 135x7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2"/>
    <n v="0.2"/>
    <x v="0"/>
    <x v="11"/>
    <s v="100 000 ч"/>
  </r>
  <r>
    <x v="658"/>
    <x v="179"/>
    <x v="14"/>
    <n v="150"/>
    <s v="SB-00016246"/>
    <s v="Ш, 135x75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Консоль на трубу до 55мм"/>
    <x v="143"/>
    <n v="0.2"/>
    <x v="0"/>
    <x v="11"/>
    <s v="100 000 ч"/>
  </r>
  <r>
    <x v="659"/>
    <x v="179"/>
    <x v="14"/>
    <n v="150"/>
    <s v="SB-00016087"/>
    <s v="Д, 120"/>
    <x v="1"/>
    <x v="3"/>
    <x v="2"/>
    <s v="≥0,95"/>
    <s v="MeanWell или иной по запросу"/>
    <s v="II"/>
    <s v="Боросиликатная линза"/>
    <s v="&lt;1%"/>
    <x v="5"/>
    <n v="70"/>
    <s v="Samsung/Seoul COB"/>
    <s v="1050мА"/>
    <x v="1"/>
    <s v="Литой экструдированный алюминиевый анодированный профиль"/>
    <s v="Поворотная лира"/>
    <x v="142"/>
    <n v="0.2"/>
    <x v="0"/>
    <x v="11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660"/>
    <x v="180"/>
    <x v="60"/>
    <n v="116"/>
    <s v="SB-00018785"/>
    <s v="Д, 120"/>
    <x v="5"/>
    <x v="3"/>
    <x v="2"/>
    <s v="≥0,95"/>
    <s v="Luxdator"/>
    <s v="I"/>
    <s v="Матовый"/>
    <s v="&lt;1%"/>
    <x v="2"/>
    <n v="80"/>
    <s v="Lumileds"/>
    <s v="175mA"/>
    <x v="1"/>
    <s v="Пластиковый корпус из ABS. Рассеиватель из полимерного пластика SAN."/>
    <s v="Накладное на специальные скобы"/>
    <x v="144"/>
    <n v="1.7999999999999999E-2"/>
    <x v="22"/>
    <x v="2"/>
    <s v="100 000 ч"/>
  </r>
  <r>
    <x v="661"/>
    <x v="181"/>
    <x v="35"/>
    <n v="116"/>
    <s v="SB-00017306"/>
    <s v="Д, 120"/>
    <x v="5"/>
    <x v="3"/>
    <x v="2"/>
    <s v="≥0,95"/>
    <s v="Luxdator"/>
    <s v="I"/>
    <s v="Матовый"/>
    <s v="&lt;1%"/>
    <x v="2"/>
    <n v="80"/>
    <s v="Lumileds"/>
    <s v="175mA"/>
    <x v="1"/>
    <s v="Пластиковый корпус из ABS. Рассеиватель из полимерного пластика SAN."/>
    <s v="Накалдное на специальные скобы"/>
    <x v="144"/>
    <n v="1.7999999999999999E-2"/>
    <x v="22"/>
    <x v="2"/>
    <s v="100 000 ч"/>
  </r>
  <r>
    <x v="662"/>
    <x v="33"/>
    <x v="33"/>
    <n v="120"/>
    <s v="SB-00011283"/>
    <s v="Д, 120"/>
    <x v="5"/>
    <x v="2"/>
    <x v="2"/>
    <s v="&gt;0,95"/>
    <s v="MeanWell"/>
    <s v="II"/>
    <s v="Матовый"/>
    <s v="&lt;1%"/>
    <x v="2"/>
    <n v="80"/>
    <s v="Samsung LM281B+ 25шт"/>
    <s v="140мА"/>
    <x v="1"/>
    <s v="Поликарбонат"/>
    <s v="Накладное/подвесное"/>
    <x v="55"/>
    <n v="1.2999999999999999E-2"/>
    <x v="18"/>
    <x v="2"/>
    <s v="100 000 ч"/>
  </r>
  <r>
    <x v="663"/>
    <x v="182"/>
    <x v="85"/>
    <n v="125"/>
    <s v="SB-00017549"/>
    <s v="Д, 120"/>
    <x v="5"/>
    <x v="2"/>
    <x v="2"/>
    <s v="≥0,95"/>
    <s v="Аргос"/>
    <s v="I"/>
    <s v="Матовый"/>
    <s v="&lt;1%"/>
    <x v="2"/>
    <n v="80"/>
    <s v="Samsung LM281B"/>
    <s v="117мА"/>
    <x v="1"/>
    <s v="Поликарбонат"/>
    <s v="Накладное/подвесное"/>
    <x v="52"/>
    <n v="5.4599999999999996E-3"/>
    <x v="16"/>
    <x v="2"/>
    <s v="100 000 ч"/>
  </r>
  <r>
    <x v="664"/>
    <x v="183"/>
    <x v="86"/>
    <n v="120"/>
    <s v="SB-00011284"/>
    <s v="Д, 120"/>
    <x v="5"/>
    <x v="2"/>
    <x v="2"/>
    <s v="&gt;0,95"/>
    <s v="Аргос/Трион или иной по запросу"/>
    <s v="I"/>
    <s v="Матовый"/>
    <s v="&lt;1%"/>
    <x v="2"/>
    <n v="80"/>
    <s v="Samsung LM281B+ 50шт"/>
    <s v="140мА"/>
    <x v="1"/>
    <s v="Поликарбонат"/>
    <s v="Накладное/подвесное"/>
    <x v="56"/>
    <n v="1.2999999999999999E-2"/>
    <x v="16"/>
    <x v="2"/>
    <s v="100 000 ч"/>
  </r>
  <r>
    <x v="665"/>
    <x v="35"/>
    <x v="35"/>
    <n v="120"/>
    <s v="SB-00011285"/>
    <s v="Д, 120"/>
    <x v="5"/>
    <x v="2"/>
    <x v="2"/>
    <s v="&gt;0,95"/>
    <s v="Аргос/Трион или иной по запросу"/>
    <s v="I"/>
    <s v="Матовый"/>
    <s v="&lt;1%"/>
    <x v="2"/>
    <n v="80"/>
    <s v="Samsung LM281B+ 75шт"/>
    <s v="140мА"/>
    <x v="1"/>
    <s v="Поликарбонат"/>
    <s v="Накладное/подвесное"/>
    <x v="57"/>
    <n v="1.2999999999999999E-2"/>
    <x v="19"/>
    <x v="2"/>
    <s v="100 000 ч"/>
  </r>
  <r>
    <x v="666"/>
    <x v="184"/>
    <x v="6"/>
    <n v="120"/>
    <s v="SB-00011286"/>
    <s v="Д, 120"/>
    <x v="5"/>
    <x v="2"/>
    <x v="2"/>
    <s v="&gt;0,95"/>
    <s v="Аргос/Трион или иной по запросу"/>
    <s v="I"/>
    <s v="Матовый"/>
    <s v="&lt;1%"/>
    <x v="2"/>
    <n v="80"/>
    <s v="Samsung LM281B+ 126шт"/>
    <s v="117мА"/>
    <x v="1"/>
    <s v="Поликарбонат"/>
    <s v="Накладное/подвесное"/>
    <x v="46"/>
    <n v="1.2999999999999999E-2"/>
    <x v="12"/>
    <x v="2"/>
    <s v="100 000 ч"/>
  </r>
  <r>
    <x v="667"/>
    <x v="185"/>
    <x v="87"/>
    <n v="125"/>
    <s v="SB-00011287"/>
    <s v="Д, 120"/>
    <x v="5"/>
    <x v="2"/>
    <x v="2"/>
    <s v="&gt;0,95"/>
    <s v="Аргос/Трион или иной по запросу"/>
    <s v="I"/>
    <s v="Матовый"/>
    <s v="&lt;1%"/>
    <x v="2"/>
    <n v="80"/>
    <s v="Samsung LM281B+ 168шт"/>
    <s v="117мА"/>
    <x v="1"/>
    <s v="Поликарбонат"/>
    <s v="Накладное/подвесное"/>
    <x v="145"/>
    <n v="1.2999999999999999E-2"/>
    <x v="14"/>
    <x v="2"/>
    <s v="100 000 ч"/>
  </r>
  <r>
    <x v="668"/>
    <x v="66"/>
    <x v="39"/>
    <n v="128"/>
    <s v="SB-00019529"/>
    <s v="Д, 120"/>
    <x v="5"/>
    <x v="2"/>
    <x v="2"/>
    <s v="≥0,95"/>
    <s v="ЮПЗ"/>
    <s v="I"/>
    <s v="Прозрачный"/>
    <s v="&lt;1%"/>
    <x v="2"/>
    <n v="80"/>
    <s v="Edison 0,5W 48шт"/>
    <s v="175мА"/>
    <x v="1"/>
    <s v="Пластиковый корпус из ABS. Рассеиватель из полимерного пластика SAN."/>
    <s v="Накалдное на специальные скобы"/>
    <x v="146"/>
    <n v="1.8162375000000001E-2"/>
    <x v="15"/>
    <x v="2"/>
    <s v="100 000 ч"/>
  </r>
  <r>
    <x v="669"/>
    <x v="186"/>
    <x v="39"/>
    <n v="113"/>
    <s v="SB-00019522"/>
    <s v="Д, 120"/>
    <x v="5"/>
    <x v="2"/>
    <x v="2"/>
    <s v="≥0,95"/>
    <s v="ЮПЗ"/>
    <s v="I"/>
    <s v="Матовый"/>
    <s v="&lt;1%"/>
    <x v="2"/>
    <n v="80"/>
    <s v="Edison 0,5W 48шт"/>
    <s v="175мА"/>
    <x v="1"/>
    <s v="Пластиковый корпус из ABS. Рассеиватель из полимерного пластика SAN."/>
    <s v="Накалдное на специальные скобы"/>
    <x v="146"/>
    <n v="1.8162375000000001E-2"/>
    <x v="15"/>
    <x v="2"/>
    <s v="100 000 ч"/>
  </r>
  <r>
    <x v="670"/>
    <x v="187"/>
    <x v="88"/>
    <n v="128"/>
    <s v="SB-00019523"/>
    <s v="Д, 120"/>
    <x v="5"/>
    <x v="2"/>
    <x v="2"/>
    <s v="≥0,95"/>
    <s v="Аргос/Трион или иной по запросу"/>
    <s v="I"/>
    <s v="Прозрачный"/>
    <s v="&lt;1%"/>
    <x v="2"/>
    <n v="80"/>
    <s v="Edison 0,5W 64шт"/>
    <s v="175мА"/>
    <x v="1"/>
    <s v="Пластиковый корпус из ABS. Рассеиватель из полимерного пластика SAN."/>
    <s v="Накалдное на специальные скобы"/>
    <x v="147"/>
    <n v="1.8162375000000001E-2"/>
    <x v="15"/>
    <x v="2"/>
    <s v="100 000 ч"/>
  </r>
  <r>
    <x v="671"/>
    <x v="188"/>
    <x v="88"/>
    <n v="113"/>
    <s v="SB-00019524"/>
    <s v="Д, 120"/>
    <x v="5"/>
    <x v="2"/>
    <x v="2"/>
    <s v="≥0,95"/>
    <s v="Аргос/Трион или иной по запросу"/>
    <s v="I"/>
    <s v="Матовый"/>
    <s v="&lt;1%"/>
    <x v="2"/>
    <n v="80"/>
    <s v="Edison 0,5W 64шт"/>
    <s v="175мА"/>
    <x v="1"/>
    <s v="Пластиковый корпус из ABS. Рассеиватель из полимерного пластика SAN."/>
    <s v="Накалдное на специальные скобы"/>
    <x v="147"/>
    <n v="1.8162375000000001E-2"/>
    <x v="15"/>
    <x v="2"/>
    <s v="100 000 ч"/>
  </r>
  <r>
    <x v="672"/>
    <x v="189"/>
    <x v="36"/>
    <n v="128"/>
    <s v="SB-00004433"/>
    <s v="Д, 120"/>
    <x v="5"/>
    <x v="2"/>
    <x v="2"/>
    <s v="≥0,95"/>
    <s v="Аргос/Трион или иной по запросу"/>
    <s v="I"/>
    <s v="Прозрачный"/>
    <s v="&lt;1%"/>
    <x v="2"/>
    <n v="80"/>
    <s v="Edison 0,5W 80шт"/>
    <s v="175мА"/>
    <x v="1"/>
    <s v="Пластиковый корпус из ABS. Рассеиватель из полимерного пластика SAN."/>
    <s v="Накалдное на специальные скобы"/>
    <x v="148"/>
    <n v="1.8162375000000001E-2"/>
    <x v="15"/>
    <x v="2"/>
    <s v="100 000 ч"/>
  </r>
  <r>
    <x v="673"/>
    <x v="190"/>
    <x v="36"/>
    <n v="128"/>
    <s v="SB-00004432"/>
    <s v="Д, 120"/>
    <x v="5"/>
    <x v="2"/>
    <x v="2"/>
    <s v="≥0,95"/>
    <s v="Аргос/Трион или иной по запросу"/>
    <s v="I"/>
    <s v="Матовый"/>
    <s v="&lt;1%"/>
    <x v="2"/>
    <n v="80"/>
    <s v="Edison 0,5W 80шт"/>
    <s v="175мА"/>
    <x v="1"/>
    <s v="Пластиковый корпус из ABS. Рассеиватель из полимерного пластика SAN."/>
    <s v="Накалдное на специальные скобы"/>
    <x v="148"/>
    <n v="1.8162375000000001E-2"/>
    <x v="15"/>
    <x v="2"/>
    <s v="100 000 ч"/>
  </r>
  <r>
    <x v="674"/>
    <x v="37"/>
    <x v="61"/>
    <n v="128"/>
    <s v="SB-00004435"/>
    <s v="Д, 120"/>
    <x v="5"/>
    <x v="2"/>
    <x v="2"/>
    <s v="≥0,95"/>
    <s v="Аргос/Трион или иной по запросу"/>
    <s v="I"/>
    <s v="Прозрачный"/>
    <s v="&lt;1%"/>
    <x v="2"/>
    <n v="80"/>
    <s v="Samsung LM281B+ 156шт"/>
    <s v="117mA"/>
    <x v="1"/>
    <s v="Пластиковый корпус из ABS. Рассеиватель из полимерного пластика SAN."/>
    <s v="Накалдное на специальные скобы"/>
    <x v="148"/>
    <n v="1.8162375000000001E-2"/>
    <x v="15"/>
    <x v="2"/>
    <s v="100 000 ч"/>
  </r>
  <r>
    <x v="675"/>
    <x v="191"/>
    <x v="61"/>
    <n v="113"/>
    <s v="SB-00004434"/>
    <s v="Д, 120"/>
    <x v="5"/>
    <x v="2"/>
    <x v="2"/>
    <s v="≥0,95"/>
    <s v="Аргос/Трион или иной по запросу"/>
    <s v="I"/>
    <s v="Матовый"/>
    <s v="&lt;1%"/>
    <x v="2"/>
    <n v="80"/>
    <s v="Samsung LM281B+ 156шт"/>
    <s v="117mA"/>
    <x v="1"/>
    <s v="Пластиковый корпус из ABS. Рассеиватель из полимерного пластика SAN."/>
    <s v="Накалдное на специальные скобы"/>
    <x v="148"/>
    <n v="1.8162375000000001E-2"/>
    <x v="15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676"/>
    <x v="192"/>
    <x v="43"/>
    <n v="156"/>
    <s v="SB-00005806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84 шт"/>
    <s v="58мА"/>
    <x v="2"/>
    <s v="Литой экструдированный алюминиевый анодированный профиль"/>
    <s v="Поворотный кронштейн с хомутом на трубу до 50.8мм"/>
    <x v="149"/>
    <n v="0.1"/>
    <x v="16"/>
    <x v="4"/>
    <s v="100 000 ч"/>
  </r>
  <r>
    <x v="677"/>
    <x v="193"/>
    <x v="34"/>
    <n v="150"/>
    <s v="SB-00014330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60 шт"/>
    <s v="117мА"/>
    <x v="2"/>
    <s v="Литой экструдированный алюминиевый анодированный профиль"/>
    <s v="Поворотный кронштейн с хомутом на трубу до 50.8мм"/>
    <x v="149"/>
    <n v="0.1"/>
    <x v="16"/>
    <x v="4"/>
    <s v="100 000 ч"/>
  </r>
  <r>
    <x v="678"/>
    <x v="194"/>
    <x v="5"/>
    <n v="151"/>
    <s v="SB-00005215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84 шт"/>
    <s v="117мА"/>
    <x v="2"/>
    <s v="Литой экструдированный алюминиевый анодированный профиль"/>
    <s v="Поворотный кронштейн с хомутом на трубу до 50.8мм"/>
    <x v="149"/>
    <n v="0.1"/>
    <x v="16"/>
    <x v="4"/>
    <s v="100 000 ч"/>
  </r>
  <r>
    <x v="679"/>
    <x v="49"/>
    <x v="6"/>
    <n v="158"/>
    <s v="SB-00005452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Поворотный кронштейн с хомутом на трубу до 50.8мм"/>
    <x v="150"/>
    <n v="0.1"/>
    <x v="19"/>
    <x v="4"/>
    <s v="100 000 ч"/>
  </r>
  <r>
    <x v="680"/>
    <x v="195"/>
    <x v="7"/>
    <n v="160"/>
    <s v="SB-00005453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168 шт"/>
    <s v="117мА"/>
    <x v="1"/>
    <s v="Литой экструдированный алюминиевый анодированный профиль"/>
    <s v="Поворотный кронштейн с хомутом на трубу до 50.8мм"/>
    <x v="151"/>
    <n v="0.1"/>
    <x v="59"/>
    <x v="2"/>
    <s v="100 000 ч"/>
  </r>
  <r>
    <x v="681"/>
    <x v="192"/>
    <x v="43"/>
    <n v="156"/>
    <s v="SB-00014331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84 шт"/>
    <s v="58мА"/>
    <x v="2"/>
    <s v="Литой экструдированный алюминиевый анодированный профиль"/>
    <s v="Поворотный кронштейн с хомутом на трубу до 50.8мм"/>
    <x v="149"/>
    <n v="0.1"/>
    <x v="16"/>
    <x v="4"/>
    <s v="100 000 ч"/>
  </r>
  <r>
    <x v="682"/>
    <x v="193"/>
    <x v="34"/>
    <n v="150"/>
    <s v="SB-00014333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0 шт"/>
    <s v="117мА"/>
    <x v="2"/>
    <s v="Литой экструдированный алюминиевый анодированный профиль"/>
    <s v="Поворотный кронштейн с хомутом на трубу до 50.8мм"/>
    <x v="149"/>
    <n v="0.1"/>
    <x v="16"/>
    <x v="4"/>
    <s v="100 000 ч"/>
  </r>
  <r>
    <x v="683"/>
    <x v="194"/>
    <x v="5"/>
    <n v="151"/>
    <s v="SB-00008426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84 шт"/>
    <s v="117мА"/>
    <x v="2"/>
    <s v="Литой экструдированный алюминиевый анодированный профиль"/>
    <s v="Поворотный кронштейн с хомутом на трубу до 50.8мм"/>
    <x v="149"/>
    <n v="0.1"/>
    <x v="16"/>
    <x v="4"/>
    <s v="100 000 ч"/>
  </r>
  <r>
    <x v="684"/>
    <x v="49"/>
    <x v="6"/>
    <n v="158"/>
    <s v="SB-00008427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Поворотный кронштейн с хомутом на трубу до 50.8мм"/>
    <x v="150"/>
    <n v="0.1"/>
    <x v="19"/>
    <x v="4"/>
    <s v="100 000 ч"/>
  </r>
  <r>
    <x v="685"/>
    <x v="195"/>
    <x v="7"/>
    <n v="160"/>
    <s v="SB-00008428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68 шт"/>
    <s v="117мА"/>
    <x v="1"/>
    <s v="Литой экструдированный алюминиевый анодированный профиль"/>
    <s v="Поворотный кронштейн с хомутом на трубу до 50.8мм"/>
    <x v="151"/>
    <n v="0.1"/>
    <x v="59"/>
    <x v="2"/>
    <s v="100 000 ч"/>
  </r>
  <r>
    <x v="686"/>
    <x v="8"/>
    <x v="8"/>
    <n v="155"/>
    <s v="SB-00014211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16 шт"/>
    <s v="117мА"/>
    <x v="1"/>
    <s v="Литой экструдированный алюминиевый анодированный профиль"/>
    <s v="Поворотный кронштейн с хомутом на трубу до 50.8мм"/>
    <x v="152"/>
    <n v="0.1"/>
    <x v="38"/>
    <x v="2"/>
    <s v="100 000 ч"/>
  </r>
  <r>
    <x v="687"/>
    <x v="196"/>
    <x v="9"/>
    <n v="148"/>
    <s v="SB-00005451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64 шт"/>
    <s v="117мА"/>
    <x v="1"/>
    <s v="Литой экструдированный алюминиевый анодированный профиль"/>
    <s v="Поворотный кронштейн с хомутом на трубу до 50.8мм"/>
    <x v="153"/>
    <n v="0.1"/>
    <x v="36"/>
    <x v="2"/>
    <s v="100 000 ч"/>
  </r>
  <r>
    <x v="688"/>
    <x v="192"/>
    <x v="43"/>
    <n v="156"/>
    <s v="SB-00014334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84 шт"/>
    <s v="58мА"/>
    <x v="2"/>
    <s v="Литой экструдированный алюминиевый анодированный профиль"/>
    <s v="Консоль на трубу до 55мм"/>
    <x v="154"/>
    <n v="0.1"/>
    <x v="16"/>
    <x v="4"/>
    <s v="100 000 ч"/>
  </r>
  <r>
    <x v="689"/>
    <x v="193"/>
    <x v="34"/>
    <n v="150"/>
    <s v="SB-00014335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60 шт"/>
    <s v="117мА"/>
    <x v="2"/>
    <s v="Литой экструдированный алюминиевый анодированный профиль"/>
    <s v="Консоль на трубу до 55мм"/>
    <x v="154"/>
    <n v="0.1"/>
    <x v="16"/>
    <x v="4"/>
    <s v="100 000 ч"/>
  </r>
  <r>
    <x v="690"/>
    <x v="194"/>
    <x v="5"/>
    <n v="151"/>
    <s v="SB-00005219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84 шт"/>
    <s v="117мА"/>
    <x v="2"/>
    <s v="Литой экструдированный алюминиевый анодированный профиль"/>
    <s v="Консоль на трубу до 55мм"/>
    <x v="154"/>
    <n v="0.1"/>
    <x v="16"/>
    <x v="4"/>
    <s v="100 000 ч"/>
  </r>
  <r>
    <x v="691"/>
    <x v="49"/>
    <x v="6"/>
    <n v="158"/>
    <s v="SB-00005575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Консоль на трубу до 55мм"/>
    <x v="155"/>
    <n v="0.1"/>
    <x v="19"/>
    <x v="4"/>
    <s v="100 000 ч"/>
  </r>
  <r>
    <x v="692"/>
    <x v="195"/>
    <x v="7"/>
    <n v="160"/>
    <s v="SB-00005532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168 шт"/>
    <s v="117мА"/>
    <x v="1"/>
    <s v="Литой экструдированный алюминиевый анодированный профиль"/>
    <s v="Консоль на трубу до 55мм"/>
    <x v="156"/>
    <n v="0.1"/>
    <x v="59"/>
    <x v="2"/>
    <s v="100 000 ч"/>
  </r>
  <r>
    <x v="693"/>
    <x v="192"/>
    <x v="43"/>
    <n v="156"/>
    <s v="SB-00009762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84 шт"/>
    <s v="58мА"/>
    <x v="2"/>
    <s v="Литой экструдированный алюминиевый анодированный профиль"/>
    <s v="Консоль на трубу до 55мм"/>
    <x v="154"/>
    <n v="0.1"/>
    <x v="16"/>
    <x v="4"/>
    <s v="100 000 ч"/>
  </r>
  <r>
    <x v="694"/>
    <x v="193"/>
    <x v="34"/>
    <n v="150"/>
    <s v="SB-00014337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0 шт"/>
    <s v="117мА"/>
    <x v="2"/>
    <s v="Литой экструдированный алюминиевый анодированный профиль"/>
    <s v="Консоль на трубу до 55мм"/>
    <x v="154"/>
    <n v="0.1"/>
    <x v="16"/>
    <x v="4"/>
    <s v="100 000 ч"/>
  </r>
  <r>
    <x v="695"/>
    <x v="194"/>
    <x v="5"/>
    <n v="151"/>
    <s v="SB-00008429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84 шт"/>
    <s v="117мА"/>
    <x v="2"/>
    <s v="Литой экструдированный алюминиевый анодированный профиль"/>
    <s v="Консоль на трубу до 55мм"/>
    <x v="154"/>
    <n v="0.1"/>
    <x v="16"/>
    <x v="4"/>
    <s v="100 000 ч"/>
  </r>
  <r>
    <x v="696"/>
    <x v="49"/>
    <x v="6"/>
    <n v="158"/>
    <s v="SB-00008430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Консоль на трубу до 55мм"/>
    <x v="155"/>
    <n v="0.1"/>
    <x v="19"/>
    <x v="4"/>
    <s v="100 000 ч"/>
  </r>
  <r>
    <x v="697"/>
    <x v="195"/>
    <x v="7"/>
    <n v="160"/>
    <s v="SB-00008431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68 шт"/>
    <s v="117мА"/>
    <x v="1"/>
    <s v="Литой экструдированный алюминиевый анодированный профиль"/>
    <s v="Консоль на трубу до 55мм"/>
    <x v="156"/>
    <n v="0.1"/>
    <x v="59"/>
    <x v="2"/>
    <s v="100 000 ч"/>
  </r>
  <r>
    <x v="698"/>
    <x v="8"/>
    <x v="8"/>
    <n v="155"/>
    <s v="SB-00014338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16 шт"/>
    <s v="117мА"/>
    <x v="1"/>
    <s v="Литой экструдированный алюминиевый анодированный профиль"/>
    <s v="Консоль на трубу до 55мм"/>
    <x v="157"/>
    <n v="0.1"/>
    <x v="38"/>
    <x v="2"/>
    <s v="100 000 ч"/>
  </r>
  <r>
    <x v="699"/>
    <x v="196"/>
    <x v="9"/>
    <n v="148"/>
    <s v="SB-00005533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64 шт"/>
    <s v="117мА"/>
    <x v="1"/>
    <s v="Литой экструдированный алюминиевый анодированный профиль"/>
    <s v="Консоль на трубу до 55мм"/>
    <x v="158"/>
    <n v="0.1"/>
    <x v="36"/>
    <x v="2"/>
    <s v="100 000 ч"/>
  </r>
  <r>
    <x v="700"/>
    <x v="194"/>
    <x v="5"/>
    <n v="151"/>
    <s v="SB-00012935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84 шт"/>
    <s v="117мА"/>
    <x v="1"/>
    <s v="Литой экструдированный алюминиевый анодированный профиль"/>
    <s v="Напольная переносная подставка"/>
    <x v="159"/>
    <n v="0.1"/>
    <x v="44"/>
    <x v="2"/>
    <s v="100 000 ч"/>
  </r>
  <r>
    <x v="701"/>
    <x v="49"/>
    <x v="6"/>
    <n v="158"/>
    <s v="SB-00012936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132 шт"/>
    <s v="117мА"/>
    <x v="1"/>
    <s v="Литой экструдированный алюминиевый анодированный профиль"/>
    <s v="Напольная переносная подставка"/>
    <x v="159"/>
    <n v="0.1"/>
    <x v="43"/>
    <x v="2"/>
    <s v="100 000 ч"/>
  </r>
  <r>
    <x v="702"/>
    <x v="197"/>
    <x v="37"/>
    <n v="151"/>
    <s v="SB-00012937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168 шт"/>
    <s v="117мА"/>
    <x v="1"/>
    <s v="Литой экструдированный алюминиевый анодированный профиль"/>
    <s v="Напольная переносная подставка"/>
    <x v="159"/>
    <n v="0.1"/>
    <x v="24"/>
    <x v="2"/>
    <s v="100 000 ч"/>
  </r>
  <r>
    <x v="703"/>
    <x v="50"/>
    <x v="9"/>
    <n v="158"/>
    <s v="SB-00012938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64 шт"/>
    <s v="117мА"/>
    <x v="1"/>
    <s v="Литой экструдированный алюминиевый анодированный профиль"/>
    <s v="Напольная переносная подставка"/>
    <x v="159"/>
    <n v="0.1"/>
    <x v="25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704"/>
    <x v="198"/>
    <x v="19"/>
    <n v="153"/>
    <s v="SB-00013412"/>
    <s v="К, 20"/>
    <x v="1"/>
    <x v="3"/>
    <x v="2"/>
    <s v="≥0,95"/>
    <s v="Аргос/Трион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05"/>
    <x v="198"/>
    <x v="19"/>
    <n v="153"/>
    <s v="SB-00013413"/>
    <s v="К, 35"/>
    <x v="1"/>
    <x v="3"/>
    <x v="2"/>
    <s v="≥0,95"/>
    <s v="Аргос/Трион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06"/>
    <x v="198"/>
    <x v="19"/>
    <n v="153"/>
    <s v="SB-00013414"/>
    <s v="Г, 65"/>
    <x v="1"/>
    <x v="3"/>
    <x v="2"/>
    <s v="≥0,95"/>
    <s v="Аргос/Трион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07"/>
    <x v="198"/>
    <x v="19"/>
    <n v="153"/>
    <s v="SB-00005664"/>
    <s v="Д, 100"/>
    <x v="1"/>
    <x v="3"/>
    <x v="2"/>
    <s v="≥0,95"/>
    <s v="Аргос/Трион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08"/>
    <x v="198"/>
    <x v="19"/>
    <n v="153"/>
    <s v="SB-00005343"/>
    <s v="Овал 30x120"/>
    <x v="1"/>
    <x v="3"/>
    <x v="2"/>
    <s v="≥0,95"/>
    <s v="Аргос/Трион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09"/>
    <x v="198"/>
    <x v="19"/>
    <n v="153"/>
    <s v="SB-00006522"/>
    <s v="Ш, 150"/>
    <x v="1"/>
    <x v="3"/>
    <x v="2"/>
    <s v="≥0,95"/>
    <s v="Аргос/Трион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10"/>
    <x v="198"/>
    <x v="19"/>
    <n v="153"/>
    <s v="SB-00005726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Консоль на трубу до 55мм"/>
    <x v="160"/>
    <n v="5.3949999999999996E-3"/>
    <x v="11"/>
    <x v="4"/>
    <s v="100 000 ч"/>
  </r>
  <r>
    <x v="711"/>
    <x v="198"/>
    <x v="19"/>
    <n v="153"/>
    <s v="SB-00005297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12"/>
    <x v="198"/>
    <x v="19"/>
    <n v="153"/>
    <s v="SB-00013415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13"/>
    <x v="198"/>
    <x v="19"/>
    <n v="153"/>
    <s v="SB-00013416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14"/>
    <x v="198"/>
    <x v="19"/>
    <n v="153"/>
    <s v="SB-00013417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15"/>
    <x v="198"/>
    <x v="19"/>
    <n v="153"/>
    <s v="SB-00008463"/>
    <s v="Д, 10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16"/>
    <x v="198"/>
    <x v="19"/>
    <n v="153"/>
    <s v="SB-00008464"/>
    <s v="Овал 30x1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17"/>
    <x v="198"/>
    <x v="19"/>
    <n v="153"/>
    <s v="SB-00008465"/>
    <s v="Ш, 15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18"/>
    <x v="198"/>
    <x v="19"/>
    <n v="153"/>
    <s v="SB-00008466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Консоль на трубу до 55мм"/>
    <x v="160"/>
    <n v="5.3949999999999996E-3"/>
    <x v="11"/>
    <x v="4"/>
    <s v="100 000 ч"/>
  </r>
  <r>
    <x v="719"/>
    <x v="198"/>
    <x v="19"/>
    <n v="153"/>
    <s v="SB-00008467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12шт"/>
    <s v="350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720"/>
    <x v="199"/>
    <x v="20"/>
    <n v="158"/>
    <s v="SB-00013418"/>
    <s v="К, 20"/>
    <x v="1"/>
    <x v="3"/>
    <x v="2"/>
    <s v="≥0,95"/>
    <s v="Аргос/Трион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21"/>
    <x v="199"/>
    <x v="20"/>
    <n v="158"/>
    <s v="SB-00013419"/>
    <s v="К, 35"/>
    <x v="1"/>
    <x v="3"/>
    <x v="2"/>
    <s v="≥0,95"/>
    <s v="Аргос/Трион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22"/>
    <x v="199"/>
    <x v="20"/>
    <n v="158"/>
    <s v="SB-00013420"/>
    <s v="Г, 65"/>
    <x v="1"/>
    <x v="3"/>
    <x v="2"/>
    <s v="≥0,95"/>
    <s v="Аргос/Трион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23"/>
    <x v="199"/>
    <x v="20"/>
    <n v="158"/>
    <s v="SB-00006521"/>
    <s v="Д, 100"/>
    <x v="1"/>
    <x v="3"/>
    <x v="2"/>
    <s v="≥0,95"/>
    <s v="Аргос/Трион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24"/>
    <x v="199"/>
    <x v="20"/>
    <n v="158"/>
    <s v="SB-00005344"/>
    <s v="Овал 30x120"/>
    <x v="1"/>
    <x v="3"/>
    <x v="2"/>
    <s v="≥0,95"/>
    <s v="Аргос/Трион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25"/>
    <x v="199"/>
    <x v="20"/>
    <n v="158"/>
    <s v="SB-00005859"/>
    <s v="Ш, 150"/>
    <x v="1"/>
    <x v="3"/>
    <x v="2"/>
    <s v="≥0,95"/>
    <s v="Аргос/Трион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26"/>
    <x v="199"/>
    <x v="20"/>
    <n v="158"/>
    <s v="SB-00007449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Консоль на трубу до 55мм"/>
    <x v="161"/>
    <n v="1.1440000000000001E-2"/>
    <x v="38"/>
    <x v="4"/>
    <s v="100 000 ч"/>
  </r>
  <r>
    <x v="727"/>
    <x v="199"/>
    <x v="20"/>
    <n v="158"/>
    <s v="SB-00005703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28"/>
    <x v="199"/>
    <x v="20"/>
    <n v="158"/>
    <s v="SB-00013421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29"/>
    <x v="199"/>
    <x v="20"/>
    <n v="158"/>
    <s v="SB-00013422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30"/>
    <x v="199"/>
    <x v="20"/>
    <n v="158"/>
    <s v="SB-00013423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31"/>
    <x v="199"/>
    <x v="20"/>
    <n v="158"/>
    <s v="SB-00008471"/>
    <s v="Д, 10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32"/>
    <x v="199"/>
    <x v="20"/>
    <n v="158"/>
    <s v="SB-00008472"/>
    <s v="Овал 30x1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33"/>
    <x v="199"/>
    <x v="20"/>
    <n v="158"/>
    <s v="SB-00008473"/>
    <s v="Ш, 15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34"/>
    <x v="199"/>
    <x v="20"/>
    <n v="158"/>
    <s v="SB-00008474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Консоль на трубу до 55мм"/>
    <x v="161"/>
    <n v="1.1440000000000001E-2"/>
    <x v="38"/>
    <x v="4"/>
    <s v="100 000 ч"/>
  </r>
  <r>
    <x v="735"/>
    <x v="199"/>
    <x v="20"/>
    <n v="158"/>
    <s v="SB-00008475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4шт"/>
    <s v="350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736"/>
    <x v="200"/>
    <x v="21"/>
    <n v="151"/>
    <s v="SB-00013424"/>
    <s v="К, 2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737"/>
    <x v="200"/>
    <x v="21"/>
    <n v="151"/>
    <s v="SB-00013425"/>
    <s v="К, 35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738"/>
    <x v="200"/>
    <x v="21"/>
    <n v="151"/>
    <s v="SB-00013426"/>
    <s v="Г, 65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739"/>
    <x v="200"/>
    <x v="21"/>
    <n v="151"/>
    <s v="SB-00005963"/>
    <s v="Д, 10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740"/>
    <x v="200"/>
    <x v="21"/>
    <n v="151"/>
    <s v="SB-00005345"/>
    <s v="Овал 30x12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741"/>
    <x v="200"/>
    <x v="21"/>
    <n v="151"/>
    <s v="SB-00005860"/>
    <s v="Ш, 15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742"/>
    <x v="200"/>
    <x v="21"/>
    <n v="151"/>
    <s v="SB-00006189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6шт"/>
    <s v="350мА"/>
    <x v="1"/>
    <s v="Литой экструдированный алюминиевый анодированный профиль"/>
    <s v="Консоль на трубу до 55мм"/>
    <x v="162"/>
    <n v="1.6951999999999998E-2"/>
    <x v="23"/>
    <x v="2"/>
    <s v="100 000 ч"/>
  </r>
  <r>
    <x v="743"/>
    <x v="200"/>
    <x v="21"/>
    <n v="151"/>
    <s v="SB-00005299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744"/>
    <x v="197"/>
    <x v="37"/>
    <n v="151"/>
    <s v="SB-00005289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168шт"/>
    <s v="117мА"/>
    <x v="2"/>
    <s v="Литой экструдированный алюминиевый анодированный профиль"/>
    <s v="Поворотный кронштейн с хомутом на трубу до 50.8мм"/>
    <x v="163"/>
    <n v="1.176E-2"/>
    <x v="38"/>
    <x v="4"/>
    <s v="100 000 ч"/>
  </r>
  <r>
    <x v="745"/>
    <x v="197"/>
    <x v="37"/>
    <n v="151"/>
    <s v="SB-00005290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168шт"/>
    <s v="117мА"/>
    <x v="2"/>
    <s v="Литой экструдированный алюминиевый анодированный профиль"/>
    <s v="Консоль на трубу до 55мм"/>
    <x v="164"/>
    <n v="1.0500000000000001E-2"/>
    <x v="38"/>
    <x v="4"/>
    <s v="100 000 ч"/>
  </r>
  <r>
    <x v="746"/>
    <x v="197"/>
    <x v="37"/>
    <n v="151"/>
    <s v="SB-00005291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168шт"/>
    <s v="117мА"/>
    <x v="2"/>
    <s v="Литой экструдированный алюминиевый анодированный профиль"/>
    <s v="Поворотный кронштейн с хомутом на трубу до 50.8мм"/>
    <x v="163"/>
    <n v="1.0500000000000001E-2"/>
    <x v="38"/>
    <x v="4"/>
    <s v="100 000 ч"/>
  </r>
  <r>
    <x v="747"/>
    <x v="197"/>
    <x v="37"/>
    <n v="151"/>
    <s v="SB-00005292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168шт"/>
    <s v="117мА"/>
    <x v="2"/>
    <s v="Литой экструдированный алюминиевый анодированный профиль"/>
    <s v="Консоль на трубу до 55мм"/>
    <x v="165"/>
    <n v="1.9199999999999998E-2"/>
    <x v="38"/>
    <x v="4"/>
    <s v="100 000 ч"/>
  </r>
  <r>
    <x v="748"/>
    <x v="201"/>
    <x v="9"/>
    <n v="151"/>
    <s v="SB-00005293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25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6"/>
    <n v="1.554E-2"/>
    <x v="23"/>
    <x v="4"/>
    <s v="100 000 ч"/>
  </r>
  <r>
    <x v="749"/>
    <x v="201"/>
    <x v="9"/>
    <n v="151"/>
    <s v="SB-00005294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252шт"/>
    <s v="117мА"/>
    <x v="2"/>
    <s v="Литой экструдированный алюминиевый анодированный профиль"/>
    <s v="Консоль на трубу до 55мм"/>
    <x v="166"/>
    <n v="1.554E-2"/>
    <x v="23"/>
    <x v="4"/>
    <s v="100 000 ч"/>
  </r>
  <r>
    <x v="750"/>
    <x v="201"/>
    <x v="9"/>
    <n v="151"/>
    <s v="SB-00005295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25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6"/>
    <n v="1.554E-2"/>
    <x v="23"/>
    <x v="4"/>
    <s v="100 000 ч"/>
  </r>
  <r>
    <x v="751"/>
    <x v="201"/>
    <x v="9"/>
    <n v="151"/>
    <s v="SB-00005296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252шт"/>
    <s v="117мА"/>
    <x v="2"/>
    <s v="Литой экструдированный алюминиевый анодированный профиль"/>
    <s v="Консоль на трубу до 55мм"/>
    <x v="167"/>
    <n v="1.554E-2"/>
    <x v="23"/>
    <x v="4"/>
    <s v="100 000 ч"/>
  </r>
  <r>
    <x v="752"/>
    <x v="50"/>
    <x v="9"/>
    <n v="158"/>
    <s v="SB-00005553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Поворотный кронштейн с хомутом на трубу до 50.8мм"/>
    <x v="168"/>
    <n v="1.176E-2"/>
    <x v="5"/>
    <x v="4"/>
    <s v="100 000 ч"/>
  </r>
  <r>
    <x v="753"/>
    <x v="50"/>
    <x v="9"/>
    <n v="158"/>
    <s v="SB-00005636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Консоль на трубу до 55мм"/>
    <x v="169"/>
    <n v="1.176E-2"/>
    <x v="5"/>
    <x v="4"/>
    <s v="100 000 ч"/>
  </r>
  <r>
    <x v="754"/>
    <x v="50"/>
    <x v="9"/>
    <n v="158"/>
    <s v="SB-00006511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Поворотный кронштейн с хомутом на трубу до 50.8мм"/>
    <x v="170"/>
    <n v="1.176E-2"/>
    <x v="5"/>
    <x v="4"/>
    <s v="100 000 ч"/>
  </r>
  <r>
    <x v="755"/>
    <x v="50"/>
    <x v="9"/>
    <n v="158"/>
    <s v="SB-00005530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Консоль на трубу до 55мм"/>
    <x v="171"/>
    <n v="1.176E-2"/>
    <x v="5"/>
    <x v="4"/>
    <s v="100 000 ч"/>
  </r>
  <r>
    <x v="756"/>
    <x v="202"/>
    <x v="64"/>
    <n v="158"/>
    <s v="SB-00005875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Поворотный кронштейн с хомутом на трубу до 50.8мм"/>
    <x v="172"/>
    <n v="1.554E-2"/>
    <x v="60"/>
    <x v="4"/>
    <s v="100 000 ч"/>
  </r>
  <r>
    <x v="757"/>
    <x v="202"/>
    <x v="64"/>
    <n v="158"/>
    <s v="SB-00005637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Консоль на трубу до 55мм"/>
    <x v="173"/>
    <n v="1.554E-2"/>
    <x v="60"/>
    <x v="4"/>
    <s v="100 000 ч"/>
  </r>
  <r>
    <x v="758"/>
    <x v="202"/>
    <x v="64"/>
    <n v="158"/>
    <s v="SB-00006113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Поворотный кронштейн с хомутом на трубу до 50.8мм"/>
    <x v="174"/>
    <n v="1.554E-2"/>
    <x v="60"/>
    <x v="4"/>
    <s v="100 000 ч"/>
  </r>
  <r>
    <x v="759"/>
    <x v="202"/>
    <x v="64"/>
    <n v="158"/>
    <s v="SB-00006514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Консоль на трубу до 55мм"/>
    <x v="175"/>
    <n v="1.554E-2"/>
    <x v="60"/>
    <x v="4"/>
    <s v="100 000 ч"/>
  </r>
  <r>
    <x v="760"/>
    <x v="203"/>
    <x v="10"/>
    <n v="160"/>
    <s v="SB-00005576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336шт"/>
    <s v="117мА"/>
    <x v="1"/>
    <s v="Литой экструдированный алюминиевый анодированный профиль"/>
    <s v="Поворотная лира (опц. хомут на трубу до 50.8мм)"/>
    <x v="176"/>
    <n v="1.0290000000000001E-2"/>
    <x v="33"/>
    <x v="2"/>
    <s v="100 000 ч"/>
  </r>
  <r>
    <x v="761"/>
    <x v="203"/>
    <x v="10"/>
    <n v="160"/>
    <s v="SB-00005610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336шт"/>
    <s v="117мА"/>
    <x v="1"/>
    <s v="Литой экструдированный алюминиевый анодированный профиль"/>
    <s v="Консоль на трубу до 55мм"/>
    <x v="177"/>
    <n v="1.176E-2"/>
    <x v="33"/>
    <x v="2"/>
    <s v="100 000 ч"/>
  </r>
  <r>
    <x v="762"/>
    <x v="203"/>
    <x v="10"/>
    <n v="160"/>
    <s v="SB-00006515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336шт"/>
    <s v="117мА"/>
    <x v="1"/>
    <s v="Литой экструдированный алюминиевый анодированный профиль"/>
    <s v="Поворотный кронштейн с хомутом на трубу до 50.8мм"/>
    <x v="178"/>
    <n v="1.176E-2"/>
    <x v="33"/>
    <x v="2"/>
    <s v="100 000 ч"/>
  </r>
  <r>
    <x v="763"/>
    <x v="203"/>
    <x v="10"/>
    <n v="160"/>
    <s v="SB-00006516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336шт"/>
    <s v="117мА"/>
    <x v="1"/>
    <s v="Литой экструдированный алюминиевый анодированный профиль"/>
    <s v="Консоль на трубу до 55мм"/>
    <x v="179"/>
    <n v="1.176E-2"/>
    <x v="33"/>
    <x v="2"/>
    <s v="100 000 ч"/>
  </r>
  <r>
    <x v="764"/>
    <x v="204"/>
    <x v="13"/>
    <n v="160"/>
    <s v="SB-00005572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504шт"/>
    <s v="117мА"/>
    <x v="1"/>
    <s v="Литой экструдированный алюминиевый анодированный профиль"/>
    <s v="Поворотный кронштейн с хомутом на трубу до 50.8мм"/>
    <x v="180"/>
    <n v="1.554E-2"/>
    <x v="10"/>
    <x v="2"/>
    <s v="100 000 ч"/>
  </r>
  <r>
    <x v="765"/>
    <x v="204"/>
    <x v="13"/>
    <n v="160"/>
    <s v="SB-00006517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504шт"/>
    <s v="117мА"/>
    <x v="1"/>
    <s v="Литой экструдированный алюминиевый анодированный профиль"/>
    <s v="Консоль на трубу до 55мм"/>
    <x v="181"/>
    <n v="1.554E-2"/>
    <x v="10"/>
    <x v="2"/>
    <s v="100 000 ч"/>
  </r>
  <r>
    <x v="766"/>
    <x v="204"/>
    <x v="13"/>
    <n v="160"/>
    <s v="SB-00006518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504шт"/>
    <s v="117мА"/>
    <x v="1"/>
    <s v="Литой экструдированный алюминиевый анодированный профиль"/>
    <s v="Поворотный кронштейн с хомутом на трубу до 50.8мм"/>
    <x v="181"/>
    <n v="1.554E-2"/>
    <x v="10"/>
    <x v="2"/>
    <s v="100 000 ч"/>
  </r>
  <r>
    <x v="767"/>
    <x v="204"/>
    <x v="13"/>
    <n v="160"/>
    <s v="SB-00006112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504шт"/>
    <s v="117мА"/>
    <x v="1"/>
    <s v="Литой экструдированный алюминиевый анодированный профиль"/>
    <s v="Консоль на трубу до 55мм"/>
    <x v="182"/>
    <n v="1.554E-2"/>
    <x v="10"/>
    <x v="2"/>
    <s v="100 000 ч"/>
  </r>
  <r>
    <x v="768"/>
    <x v="197"/>
    <x v="37"/>
    <n v="151"/>
    <s v="SB-00008432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68шт"/>
    <s v="117мА"/>
    <x v="2"/>
    <s v="Литой экструдированный алюминиевый анодированный профиль"/>
    <s v="Поворотный кронштейн с хомутом на трубу до 50.8мм"/>
    <x v="163"/>
    <n v="1.176E-2"/>
    <x v="38"/>
    <x v="4"/>
    <s v="100 000 ч"/>
  </r>
  <r>
    <x v="769"/>
    <x v="197"/>
    <x v="37"/>
    <n v="151"/>
    <s v="SB-00008433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68шт"/>
    <s v="117мА"/>
    <x v="2"/>
    <s v="Литой экструдированный алюминиевый анодированный профиль"/>
    <s v="Консоль на трубу до 55мм"/>
    <x v="164"/>
    <n v="1.0500000000000001E-2"/>
    <x v="38"/>
    <x v="4"/>
    <s v="100 000 ч"/>
  </r>
  <r>
    <x v="770"/>
    <x v="197"/>
    <x v="37"/>
    <n v="151"/>
    <s v="SB-00008434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68шт"/>
    <s v="117мА"/>
    <x v="2"/>
    <s v="Литой экструдированный алюминиевый анодированный профиль"/>
    <s v="Поворотный кронштейн с хомутом на трубу до 50.8мм"/>
    <x v="163"/>
    <n v="1.0500000000000001E-2"/>
    <x v="38"/>
    <x v="4"/>
    <s v="100 000 ч"/>
  </r>
  <r>
    <x v="771"/>
    <x v="197"/>
    <x v="37"/>
    <n v="151"/>
    <s v="SB-00008435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68шт"/>
    <s v="117мА"/>
    <x v="2"/>
    <s v="Литой экструдированный алюминиевый анодированный профиль"/>
    <s v="Консоль на трубу до 55мм"/>
    <x v="165"/>
    <n v="1.9199999999999998E-2"/>
    <x v="38"/>
    <x v="4"/>
    <s v="100 000 ч"/>
  </r>
  <r>
    <x v="772"/>
    <x v="201"/>
    <x v="9"/>
    <n v="151"/>
    <s v="SB-00008436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5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6"/>
    <n v="1.554E-2"/>
    <x v="23"/>
    <x v="4"/>
    <s v="100 000 ч"/>
  </r>
  <r>
    <x v="773"/>
    <x v="201"/>
    <x v="9"/>
    <n v="151"/>
    <s v="SB-00008437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52шт"/>
    <s v="117мА"/>
    <x v="2"/>
    <s v="Литой экструдированный алюминиевый анодированный профиль"/>
    <s v="Консоль на трубу до 55мм"/>
    <x v="166"/>
    <n v="1.554E-2"/>
    <x v="23"/>
    <x v="4"/>
    <s v="100 000 ч"/>
  </r>
  <r>
    <x v="774"/>
    <x v="201"/>
    <x v="9"/>
    <n v="151"/>
    <s v="SB-00008438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5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6"/>
    <n v="1.554E-2"/>
    <x v="23"/>
    <x v="4"/>
    <s v="100 000 ч"/>
  </r>
  <r>
    <x v="775"/>
    <x v="201"/>
    <x v="9"/>
    <n v="151"/>
    <s v="SB-00008439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52шт"/>
    <s v="117мА"/>
    <x v="2"/>
    <s v="Литой экструдированный алюминиевый анодированный профиль"/>
    <s v="Консоль на трубу до 55мм"/>
    <x v="167"/>
    <n v="1.554E-2"/>
    <x v="23"/>
    <x v="4"/>
    <s v="100 000 ч"/>
  </r>
  <r>
    <x v="776"/>
    <x v="50"/>
    <x v="9"/>
    <n v="158"/>
    <s v="SB-00008440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Поворотная лира (опц. хомут на трубу до 50.8мм)"/>
    <x v="183"/>
    <n v="1.176E-2"/>
    <x v="5"/>
    <x v="4"/>
    <s v="100 000 ч"/>
  </r>
  <r>
    <x v="777"/>
    <x v="50"/>
    <x v="9"/>
    <n v="158"/>
    <s v="SB-00008441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Консоль на трубу до 55мм"/>
    <x v="169"/>
    <n v="1.176E-2"/>
    <x v="5"/>
    <x v="4"/>
    <s v="100 000 ч"/>
  </r>
  <r>
    <x v="778"/>
    <x v="50"/>
    <x v="9"/>
    <n v="158"/>
    <s v="SB-00008442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Поворотный кронштейн с хомутом на трубу до 50.8мм"/>
    <x v="170"/>
    <n v="1.176E-2"/>
    <x v="5"/>
    <x v="4"/>
    <s v="100 000 ч"/>
  </r>
  <r>
    <x v="779"/>
    <x v="50"/>
    <x v="9"/>
    <n v="158"/>
    <s v="SB-00008443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Консоль на трубу до 55мм"/>
    <x v="171"/>
    <n v="1.176E-2"/>
    <x v="5"/>
    <x v="4"/>
    <s v="100 000 ч"/>
  </r>
  <r>
    <x v="780"/>
    <x v="202"/>
    <x v="64"/>
    <n v="158"/>
    <s v="SB-00008444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Поворотный кронштейн с хомутом на трубу до 50.8мм"/>
    <x v="184"/>
    <n v="1.554E-2"/>
    <x v="60"/>
    <x v="4"/>
    <s v="100 000 ч"/>
  </r>
  <r>
    <x v="781"/>
    <x v="202"/>
    <x v="64"/>
    <n v="158"/>
    <s v="SB-00008445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Консоль на трубу до 55мм"/>
    <x v="173"/>
    <n v="1.554E-2"/>
    <x v="60"/>
    <x v="4"/>
    <s v="100 000 ч"/>
  </r>
  <r>
    <x v="782"/>
    <x v="202"/>
    <x v="64"/>
    <n v="158"/>
    <s v="SB-00008446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Поворотный кронштейн с хомутом на трубу до 50.8мм"/>
    <x v="174"/>
    <n v="1.554E-2"/>
    <x v="60"/>
    <x v="4"/>
    <s v="100 000 ч"/>
  </r>
  <r>
    <x v="783"/>
    <x v="202"/>
    <x v="64"/>
    <n v="158"/>
    <s v="SB-00008447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Консоль на трубу до 55мм"/>
    <x v="175"/>
    <n v="1.554E-2"/>
    <x v="60"/>
    <x v="4"/>
    <s v="100 000 ч"/>
  </r>
  <r>
    <x v="784"/>
    <x v="203"/>
    <x v="10"/>
    <n v="160"/>
    <s v="SB-00008450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36шт"/>
    <s v="117мА"/>
    <x v="1"/>
    <s v="Литой экструдированный алюминиевый анодированный профиль"/>
    <s v="Поворотная лира (опц. хомут на трубу до 50.8мм)"/>
    <x v="185"/>
    <n v="1.0290000000000001E-2"/>
    <x v="33"/>
    <x v="2"/>
    <s v="100 000 ч"/>
  </r>
  <r>
    <x v="785"/>
    <x v="203"/>
    <x v="10"/>
    <n v="160"/>
    <s v="SB-00008451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36шт"/>
    <s v="117мА"/>
    <x v="1"/>
    <s v="Литой экструдированный алюминиевый анодированный профиль"/>
    <s v="Консоль на трубу до 55мм"/>
    <x v="177"/>
    <n v="1.176E-2"/>
    <x v="33"/>
    <x v="2"/>
    <s v="100 000 ч"/>
  </r>
  <r>
    <x v="786"/>
    <x v="203"/>
    <x v="10"/>
    <n v="160"/>
    <s v="SB-00008452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36шт"/>
    <s v="117мА"/>
    <x v="1"/>
    <s v="Литой экструдированный алюминиевый анодированный профиль"/>
    <s v="Поворотный кронштейн с хомутом на трубу до 50.8мм"/>
    <x v="178"/>
    <n v="1.176E-2"/>
    <x v="33"/>
    <x v="2"/>
    <s v="100 000 ч"/>
  </r>
  <r>
    <x v="787"/>
    <x v="203"/>
    <x v="10"/>
    <n v="160"/>
    <s v="SB-00008453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36шт"/>
    <s v="117мА"/>
    <x v="1"/>
    <s v="Литой экструдированный алюминиевый анодированный профиль"/>
    <s v="Консоль на трубу до 55мм"/>
    <x v="179"/>
    <n v="1.176E-2"/>
    <x v="33"/>
    <x v="2"/>
    <s v="100 000 ч"/>
  </r>
  <r>
    <x v="788"/>
    <x v="204"/>
    <x v="13"/>
    <n v="160"/>
    <s v="SB-00008454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504шт"/>
    <s v="117мА"/>
    <x v="1"/>
    <s v="Литой экструдированный алюминиевый анодированный профиль"/>
    <s v="Поворотный кронштейн с хомутом на трубу до 50.8мм"/>
    <x v="180"/>
    <n v="1.554E-2"/>
    <x v="10"/>
    <x v="2"/>
    <s v="100 000 ч"/>
  </r>
  <r>
    <x v="789"/>
    <x v="204"/>
    <x v="13"/>
    <n v="160"/>
    <s v="SB-00008455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504шт"/>
    <s v="117мА"/>
    <x v="1"/>
    <s v="Литой экструдированный алюминиевый анодированный профиль"/>
    <s v="Консоль на трубу до 55мм"/>
    <x v="181"/>
    <n v="1.554E-2"/>
    <x v="10"/>
    <x v="2"/>
    <s v="100 000 ч"/>
  </r>
  <r>
    <x v="790"/>
    <x v="204"/>
    <x v="13"/>
    <n v="160"/>
    <s v="SB-00008456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504шт"/>
    <s v="117мА"/>
    <x v="1"/>
    <s v="Литой экструдированный алюминиевый анодированный профиль"/>
    <s v="Поворотный кронштейн с хомутом на трубу до 50.8мм"/>
    <x v="181"/>
    <n v="1.554E-2"/>
    <x v="10"/>
    <x v="2"/>
    <s v="100 000 ч"/>
  </r>
  <r>
    <x v="791"/>
    <x v="204"/>
    <x v="13"/>
    <n v="160"/>
    <s v="SB-00008457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504шт"/>
    <s v="117мА"/>
    <x v="1"/>
    <s v="Литой экструдированный алюминиевый анодированный профиль"/>
    <s v="Консоль на трубу до 55мм"/>
    <x v="182"/>
    <n v="1.554E-2"/>
    <x v="10"/>
    <x v="2"/>
    <s v="100 000 ч"/>
  </r>
  <r>
    <x v="792"/>
    <x v="11"/>
    <x v="11"/>
    <n v="155.875"/>
    <s v="SB-00014933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520 шт"/>
    <s v="117мА"/>
    <x v="1"/>
    <s v="Литой экструдированный алюминиевый анодированный профиль"/>
    <s v="Поворотный кронштейн с хомутом на трубу до 50.8мм"/>
    <x v="186"/>
    <n v="2.9000000000000001E-2"/>
    <x v="45"/>
    <x v="2"/>
    <s v="100 000 ч"/>
  </r>
  <r>
    <x v="793"/>
    <x v="11"/>
    <x v="11"/>
    <n v="155.875"/>
    <s v="SB-00014565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520 шт"/>
    <s v="117мА"/>
    <x v="1"/>
    <s v="Литой экструдированный алюминиевый анодированный профиль"/>
    <s v="Консоль на трубу до 55мм"/>
    <x v="187"/>
    <n v="1.7600000000000001E-2"/>
    <x v="45"/>
    <x v="2"/>
    <s v="100 000 ч"/>
  </r>
  <r>
    <x v="794"/>
    <x v="14"/>
    <x v="14"/>
    <n v="155.875"/>
    <s v="SB-00014988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780 шт"/>
    <s v="117мА"/>
    <x v="1"/>
    <s v="Литой экструдированный алюминиевый анодированный профиль"/>
    <s v="Поворотный кронштейн с хомутом на трубу до 50.8мм"/>
    <x v="188"/>
    <n v="2.7380000000000002E-2"/>
    <x v="61"/>
    <x v="2"/>
    <s v="100 000 ч"/>
  </r>
  <r>
    <x v="795"/>
    <x v="14"/>
    <x v="14"/>
    <n v="155.875"/>
    <s v="SB-00015429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780 шт"/>
    <s v="117мА"/>
    <x v="1"/>
    <s v="Литой экструдированный алюминиевый анодированный профиль"/>
    <s v="Консоль на трубу до 55мм"/>
    <x v="189"/>
    <n v="2.7380000000000002E-2"/>
    <x v="61"/>
    <x v="2"/>
    <s v="100 000 ч"/>
  </r>
  <r>
    <x v="796"/>
    <x v="17"/>
    <x v="17"/>
    <n v="155.875"/>
    <s v="SB-00015430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1040 шт"/>
    <s v="117мА"/>
    <x v="1"/>
    <s v="Литой экструдированный алюминиевый анодированный профиль"/>
    <s v="Поворотный кронштейн с хомутом на трубу до 50.8мм"/>
    <x v="190"/>
    <n v="0.04"/>
    <x v="62"/>
    <x v="2"/>
    <s v="100 000 ч"/>
  </r>
  <r>
    <x v="797"/>
    <x v="205"/>
    <x v="89"/>
    <n v="155.875"/>
    <s v="SB-00015431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1300 шт"/>
    <s v="117мА"/>
    <x v="1"/>
    <s v="Литой экструдированный алюминиевый анодированный профиль"/>
    <s v="Поворотный кронштейн с хомутом на трубу до 50.8мм"/>
    <x v="191"/>
    <n v="0.05"/>
    <x v="27"/>
    <x v="2"/>
    <s v="100 000 ч"/>
  </r>
  <r>
    <x v="798"/>
    <x v="206"/>
    <x v="12"/>
    <n v="148"/>
    <s v="SB-00005577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528шт"/>
    <s v="117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92"/>
    <n v="1.4749999999999999E-2"/>
    <x v="35"/>
    <x v="2"/>
    <s v="100 000 ч"/>
  </r>
  <r>
    <x v="799"/>
    <x v="206"/>
    <x v="12"/>
    <n v="148"/>
    <s v="SB-00006111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528шт"/>
    <s v="117мА"/>
    <x v="1"/>
    <s v="Литой экструдированный алюминиевый анодированный профиль"/>
    <s v="Консоль на трубу до 55мм"/>
    <x v="193"/>
    <n v="1.7600000000000001E-2"/>
    <x v="35"/>
    <x v="2"/>
    <s v="100 000 ч"/>
  </r>
  <r>
    <x v="800"/>
    <x v="206"/>
    <x v="12"/>
    <n v="148"/>
    <s v="SB-00005784"/>
    <s v="Л, 14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528шт"/>
    <s v="117мА"/>
    <x v="1"/>
    <s v="Литой экструдированный алюминиевый анодированный профиль"/>
    <s v="Консоль на трубу до 55мм"/>
    <x v="194"/>
    <n v="2.418E-2"/>
    <x v="35"/>
    <x v="2"/>
    <s v="100 000 ч"/>
  </r>
  <r>
    <x v="801"/>
    <x v="207"/>
    <x v="15"/>
    <n v="148"/>
    <s v="SB-00006004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792шт"/>
    <s v="117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95"/>
    <n v="2.7380000000000002E-2"/>
    <x v="63"/>
    <x v="2"/>
    <s v="100 000 ч"/>
  </r>
  <r>
    <x v="802"/>
    <x v="207"/>
    <x v="15"/>
    <n v="148"/>
    <s v="SB-00005686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792шт"/>
    <s v="117мА"/>
    <x v="1"/>
    <s v="Литой экструдированный алюминиевый анодированный профиль"/>
    <s v="Консоль на трубу до 55мм"/>
    <x v="196"/>
    <n v="2.7380000000000002E-2"/>
    <x v="63"/>
    <x v="2"/>
    <s v="100 000 ч"/>
  </r>
  <r>
    <x v="803"/>
    <x v="208"/>
    <x v="18"/>
    <n v="148"/>
    <s v="SB-00008080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1056шт"/>
    <s v="117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97"/>
    <n v="0.04"/>
    <x v="28"/>
    <x v="2"/>
    <s v="100 000 ч"/>
  </r>
  <r>
    <x v="804"/>
    <x v="209"/>
    <x v="70"/>
    <n v="148"/>
    <s v="SB-00008182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1320шт"/>
    <s v="117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98"/>
    <n v="0.05"/>
    <x v="1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805"/>
    <x v="210"/>
    <x v="90"/>
    <n v="153"/>
    <s v="SB-00007077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Консоль на трубу до 55мм"/>
    <x v="199"/>
    <n v="1.176E-2"/>
    <x v="23"/>
    <x v="4"/>
    <s v="100 000 ч"/>
  </r>
  <r>
    <x v="806"/>
    <x v="210"/>
    <x v="90"/>
    <n v="153"/>
    <s v="SB-00007078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07"/>
    <x v="210"/>
    <x v="90"/>
    <n v="153"/>
    <s v="SB-00013428"/>
    <s v="К, 20"/>
    <x v="1"/>
    <x v="3"/>
    <x v="2"/>
    <s v="≥0,95"/>
    <s v="Аргос/Трион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08"/>
    <x v="210"/>
    <x v="90"/>
    <n v="153"/>
    <s v="SB-00013429"/>
    <s v="К, 35"/>
    <x v="1"/>
    <x v="3"/>
    <x v="2"/>
    <s v="≥0,95"/>
    <s v="Аргос/Трион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09"/>
    <x v="210"/>
    <x v="90"/>
    <n v="153"/>
    <s v="SB-00013430"/>
    <s v="Г, 65"/>
    <x v="1"/>
    <x v="3"/>
    <x v="2"/>
    <s v="≥0,95"/>
    <s v="Аргос/Трион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10"/>
    <x v="210"/>
    <x v="90"/>
    <n v="153"/>
    <s v="SB-00007082"/>
    <s v="Д, 100"/>
    <x v="1"/>
    <x v="3"/>
    <x v="2"/>
    <s v="≥0,95"/>
    <s v="Аргос/Трион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11"/>
    <x v="210"/>
    <x v="90"/>
    <n v="153"/>
    <s v="SB-00007083"/>
    <s v="Овал 30x120"/>
    <x v="1"/>
    <x v="3"/>
    <x v="2"/>
    <s v="≥0,95"/>
    <s v="Аргос/Трион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12"/>
    <x v="210"/>
    <x v="90"/>
    <n v="153"/>
    <s v="SB-00007084"/>
    <s v="Ш, 150"/>
    <x v="1"/>
    <x v="3"/>
    <x v="2"/>
    <s v="≥0,95"/>
    <s v="Аргос/Трион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13"/>
    <x v="210"/>
    <x v="90"/>
    <n v="153"/>
    <s v="SB-00008476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Консоль на трубу до 55мм"/>
    <x v="199"/>
    <n v="1.176E-2"/>
    <x v="23"/>
    <x v="4"/>
    <s v="100 000 ч"/>
  </r>
  <r>
    <x v="814"/>
    <x v="210"/>
    <x v="90"/>
    <n v="153"/>
    <s v="SB-00008477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15"/>
    <x v="210"/>
    <x v="90"/>
    <n v="153"/>
    <s v="SB-00013431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16"/>
    <x v="210"/>
    <x v="90"/>
    <n v="153"/>
    <s v="SB-00013432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17"/>
    <x v="210"/>
    <x v="90"/>
    <n v="153"/>
    <s v="SB-00013433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18"/>
    <x v="210"/>
    <x v="90"/>
    <n v="153"/>
    <s v="SB-00008481"/>
    <s v="Д, 10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19"/>
    <x v="210"/>
    <x v="90"/>
    <n v="153"/>
    <s v="SB-00008482"/>
    <s v="Овал 30x1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20"/>
    <x v="210"/>
    <x v="90"/>
    <n v="153"/>
    <s v="SB-00008483"/>
    <s v="Ш, 15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0"/>
    <n v="1.0500000000000001E-2"/>
    <x v="23"/>
    <x v="4"/>
    <s v="100 000 ч"/>
  </r>
  <r>
    <x v="821"/>
    <x v="211"/>
    <x v="23"/>
    <n v="158"/>
    <s v="SB-00007085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Консоль на трубу до 55мм"/>
    <x v="201"/>
    <n v="1.652E-2"/>
    <x v="45"/>
    <x v="4"/>
    <s v="100 000 ч"/>
  </r>
  <r>
    <x v="822"/>
    <x v="211"/>
    <x v="23"/>
    <n v="158"/>
    <s v="SB-00006107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23"/>
    <x v="211"/>
    <x v="23"/>
    <n v="158"/>
    <s v="SB-00013434"/>
    <s v="К, 20"/>
    <x v="1"/>
    <x v="3"/>
    <x v="2"/>
    <s v="≥0,95"/>
    <s v="Аргос/Трион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24"/>
    <x v="211"/>
    <x v="23"/>
    <n v="158"/>
    <s v="SB-00013435"/>
    <s v="К, 35"/>
    <x v="1"/>
    <x v="3"/>
    <x v="2"/>
    <s v="≥0,95"/>
    <s v="Аргос/Трион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25"/>
    <x v="211"/>
    <x v="23"/>
    <n v="158"/>
    <s v="SB-00013436"/>
    <s v="Г, 65"/>
    <x v="1"/>
    <x v="3"/>
    <x v="2"/>
    <s v="≥0,95"/>
    <s v="Аргос/Трион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26"/>
    <x v="211"/>
    <x v="23"/>
    <n v="158"/>
    <s v="SB-00007088"/>
    <s v="Д, 100"/>
    <x v="1"/>
    <x v="3"/>
    <x v="2"/>
    <s v="≥0,95"/>
    <s v="Аргос/Трион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27"/>
    <x v="211"/>
    <x v="23"/>
    <n v="158"/>
    <s v="SB-00006381"/>
    <s v="Овал 30x120"/>
    <x v="1"/>
    <x v="3"/>
    <x v="2"/>
    <s v="≥0,95"/>
    <s v="Аргос/Трион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28"/>
    <x v="211"/>
    <x v="23"/>
    <n v="158"/>
    <s v="SB-00006433"/>
    <s v="Ш, 150"/>
    <x v="1"/>
    <x v="3"/>
    <x v="2"/>
    <s v="≥0,95"/>
    <s v="Аргос/Трион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29"/>
    <x v="211"/>
    <x v="23"/>
    <n v="158"/>
    <s v="SB-00008484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Консоль на трубу до 55мм"/>
    <x v="201"/>
    <n v="1.652E-2"/>
    <x v="45"/>
    <x v="4"/>
    <s v="100 000 ч"/>
  </r>
  <r>
    <x v="830"/>
    <x v="211"/>
    <x v="23"/>
    <n v="158"/>
    <s v="SB-00008485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31"/>
    <x v="211"/>
    <x v="23"/>
    <n v="158"/>
    <s v="SB-00013437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32"/>
    <x v="211"/>
    <x v="23"/>
    <n v="158"/>
    <s v="SB-00013438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33"/>
    <x v="211"/>
    <x v="23"/>
    <n v="158"/>
    <s v="SB-00013439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34"/>
    <x v="211"/>
    <x v="23"/>
    <n v="158"/>
    <s v="SB-00008489"/>
    <s v="Д, 10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35"/>
    <x v="211"/>
    <x v="23"/>
    <n v="158"/>
    <s v="SB-00008490"/>
    <s v="Овал 30x1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36"/>
    <x v="211"/>
    <x v="23"/>
    <n v="158"/>
    <s v="SB-00008491"/>
    <s v="Ш, 15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2x24шт"/>
    <s v="350мА"/>
    <x v="2"/>
    <s v="Литой экструдированный алюминиевый анодированный профиль"/>
    <s v="Поворотная лира (опц. хомут на трубу до 50.8мм) / Консоль на трубу до 55мм"/>
    <x v="202"/>
    <n v="1.4749999999999999E-2"/>
    <x v="45"/>
    <x v="4"/>
    <s v="100 000 ч"/>
  </r>
  <r>
    <x v="837"/>
    <x v="212"/>
    <x v="24"/>
    <n v="151"/>
    <s v="SB-00007090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2x36шт"/>
    <s v="350мА"/>
    <x v="1"/>
    <s v="Литой экструдированный алюминиевый анодированный профиль"/>
    <s v="Консоль на трубу до 55мм"/>
    <x v="203"/>
    <n v="2.0719999999999999E-2"/>
    <x v="37"/>
    <x v="3"/>
    <s v="100 000 ч"/>
  </r>
  <r>
    <x v="838"/>
    <x v="212"/>
    <x v="24"/>
    <n v="151"/>
    <s v="SB-00006899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2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4"/>
    <n v="1.8499999999999999E-2"/>
    <x v="37"/>
    <x v="2"/>
    <s v="100 000 ч"/>
  </r>
  <r>
    <x v="839"/>
    <x v="212"/>
    <x v="24"/>
    <n v="151"/>
    <s v="SB-00013440"/>
    <s v="К, 2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2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4"/>
    <n v="1.8499999999999999E-2"/>
    <x v="37"/>
    <x v="2"/>
    <s v="100 000 ч"/>
  </r>
  <r>
    <x v="840"/>
    <x v="212"/>
    <x v="24"/>
    <n v="151"/>
    <s v="SB-00013441"/>
    <s v="К, 35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2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4"/>
    <n v="1.8499999999999999E-2"/>
    <x v="37"/>
    <x v="2"/>
    <s v="100 000 ч"/>
  </r>
  <r>
    <x v="841"/>
    <x v="212"/>
    <x v="24"/>
    <n v="151"/>
    <s v="SB-00013442"/>
    <s v="Г, 65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2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4"/>
    <n v="1.8499999999999999E-2"/>
    <x v="37"/>
    <x v="2"/>
    <s v="100 000 ч"/>
  </r>
  <r>
    <x v="842"/>
    <x v="212"/>
    <x v="24"/>
    <n v="151"/>
    <s v="SB-00006350"/>
    <s v="Д, 10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2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4"/>
    <n v="1.8499999999999999E-2"/>
    <x v="37"/>
    <x v="2"/>
    <s v="100 000 ч"/>
  </r>
  <r>
    <x v="843"/>
    <x v="212"/>
    <x v="24"/>
    <n v="151"/>
    <s v="SB-00007093"/>
    <s v="Овал 30x12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2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4"/>
    <n v="1.8499999999999999E-2"/>
    <x v="37"/>
    <x v="2"/>
    <s v="100 000 ч"/>
  </r>
  <r>
    <x v="844"/>
    <x v="212"/>
    <x v="24"/>
    <n v="151"/>
    <s v="SB-00007094"/>
    <s v="Ш, 15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2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4"/>
    <n v="1.8499999999999999E-2"/>
    <x v="37"/>
    <x v="2"/>
    <s v="100 000 ч"/>
  </r>
  <r>
    <x v="845"/>
    <x v="213"/>
    <x v="45"/>
    <n v="153"/>
    <s v="SB-00007056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Консоль на трубу до 55мм"/>
    <x v="205"/>
    <n v="1.554E-2"/>
    <x v="64"/>
    <x v="4"/>
    <s v="100 000 ч"/>
  </r>
  <r>
    <x v="846"/>
    <x v="213"/>
    <x v="45"/>
    <n v="153"/>
    <s v="SB-00007057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47"/>
    <x v="213"/>
    <x v="45"/>
    <n v="153"/>
    <s v="SB-00013443"/>
    <s v="К, 20"/>
    <x v="1"/>
    <x v="3"/>
    <x v="2"/>
    <s v="≥0,95"/>
    <s v="Аргос/Трион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48"/>
    <x v="213"/>
    <x v="45"/>
    <n v="153"/>
    <s v="SB-00013445"/>
    <s v="К, 35"/>
    <x v="1"/>
    <x v="3"/>
    <x v="2"/>
    <s v="≥0,95"/>
    <s v="Аргос/Трион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49"/>
    <x v="213"/>
    <x v="45"/>
    <n v="153"/>
    <s v="SB-00013446"/>
    <s v="Г, 65"/>
    <x v="1"/>
    <x v="3"/>
    <x v="2"/>
    <s v="≥0,95"/>
    <s v="Аргос/Трион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50"/>
    <x v="213"/>
    <x v="45"/>
    <n v="153"/>
    <s v="SB-00007061"/>
    <s v="Д, 100"/>
    <x v="1"/>
    <x v="3"/>
    <x v="2"/>
    <s v="≥0,95"/>
    <s v="Аргос/Трион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51"/>
    <x v="213"/>
    <x v="45"/>
    <n v="153"/>
    <s v="SB-00007062"/>
    <s v="Овал 30x120"/>
    <x v="1"/>
    <x v="3"/>
    <x v="2"/>
    <s v="≥0,95"/>
    <s v="Аргос/Трион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52"/>
    <x v="213"/>
    <x v="45"/>
    <n v="153"/>
    <s v="SB-00007063"/>
    <s v="Ш, 150"/>
    <x v="1"/>
    <x v="3"/>
    <x v="2"/>
    <s v="≥0,95"/>
    <s v="Аргос/Трион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53"/>
    <x v="213"/>
    <x v="45"/>
    <n v="153"/>
    <s v="SB-00008492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Консоль на трубу до 55мм"/>
    <x v="205"/>
    <n v="1.554E-2"/>
    <x v="64"/>
    <x v="4"/>
    <s v="100 000 ч"/>
  </r>
  <r>
    <x v="854"/>
    <x v="213"/>
    <x v="45"/>
    <n v="153"/>
    <s v="SB-00008493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55"/>
    <x v="213"/>
    <x v="45"/>
    <n v="153"/>
    <s v="SB-00013447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56"/>
    <x v="213"/>
    <x v="45"/>
    <n v="153"/>
    <s v="SB-00013448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57"/>
    <x v="213"/>
    <x v="45"/>
    <n v="153"/>
    <s v="SB-00013449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58"/>
    <x v="213"/>
    <x v="45"/>
    <n v="153"/>
    <s v="SB-00008497"/>
    <s v="Д, 10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59"/>
    <x v="213"/>
    <x v="45"/>
    <n v="153"/>
    <s v="SB-00008498"/>
    <s v="Овал 30x1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60"/>
    <x v="213"/>
    <x v="45"/>
    <n v="153"/>
    <s v="SB-00008499"/>
    <s v="Ш, 15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12шт"/>
    <s v="350мА"/>
    <x v="2"/>
    <s v="Литой экструдированный алюминиевый анодированный профиль"/>
    <s v="Поворотный кронштейн с хомутом на трубу до 50.8мм / Консоль на трубу до 55мм"/>
    <x v="205"/>
    <n v="1.554E-2"/>
    <x v="64"/>
    <x v="4"/>
    <s v="100 000 ч"/>
  </r>
  <r>
    <x v="861"/>
    <x v="214"/>
    <x v="26"/>
    <n v="158"/>
    <s v="SB-00007064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Консоль на трубу до 55мм"/>
    <x v="206"/>
    <n v="1.554E-2"/>
    <x v="61"/>
    <x v="4"/>
    <s v="100 000 ч"/>
  </r>
  <r>
    <x v="862"/>
    <x v="214"/>
    <x v="26"/>
    <n v="158"/>
    <s v="SB-00007065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63"/>
    <x v="214"/>
    <x v="26"/>
    <n v="158"/>
    <s v="SB-00013450"/>
    <s v="К, 20"/>
    <x v="1"/>
    <x v="3"/>
    <x v="2"/>
    <s v="≥0,95"/>
    <s v="Аргос/Трион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64"/>
    <x v="214"/>
    <x v="26"/>
    <n v="158"/>
    <s v="SB-00013451"/>
    <s v="К, 35"/>
    <x v="1"/>
    <x v="3"/>
    <x v="2"/>
    <s v="≥0,95"/>
    <s v="Аргос/Трион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65"/>
    <x v="214"/>
    <x v="26"/>
    <n v="158"/>
    <s v="SB-00013452"/>
    <s v="Г, 65"/>
    <x v="1"/>
    <x v="3"/>
    <x v="2"/>
    <s v="≥0,95"/>
    <s v="Аргос/Трион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66"/>
    <x v="214"/>
    <x v="26"/>
    <n v="158"/>
    <s v="SB-00007068"/>
    <s v="Д, 100"/>
    <x v="1"/>
    <x v="3"/>
    <x v="2"/>
    <s v="≥0,95"/>
    <s v="Аргос/Трион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67"/>
    <x v="214"/>
    <x v="26"/>
    <n v="158"/>
    <s v="SB-00007069"/>
    <s v="Овал 30x120"/>
    <x v="1"/>
    <x v="3"/>
    <x v="2"/>
    <s v="≥0,95"/>
    <s v="Аргос/Трион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68"/>
    <x v="214"/>
    <x v="26"/>
    <n v="158"/>
    <s v="SB-00007070"/>
    <s v="Ш, 150"/>
    <x v="1"/>
    <x v="3"/>
    <x v="2"/>
    <s v="≥0,95"/>
    <s v="Аргос/Трион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69"/>
    <x v="214"/>
    <x v="26"/>
    <n v="158"/>
    <s v="SB-00008500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Консоль на трубу до 55мм"/>
    <x v="206"/>
    <n v="1.554E-2"/>
    <x v="61"/>
    <x v="4"/>
    <s v="100 000 ч"/>
  </r>
  <r>
    <x v="870"/>
    <x v="214"/>
    <x v="26"/>
    <n v="158"/>
    <s v="SB-00008501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71"/>
    <x v="214"/>
    <x v="26"/>
    <n v="158"/>
    <s v="SB-00013453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72"/>
    <x v="214"/>
    <x v="26"/>
    <n v="158"/>
    <s v="SB-00013454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73"/>
    <x v="214"/>
    <x v="26"/>
    <n v="158"/>
    <s v="SB-00013455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74"/>
    <x v="214"/>
    <x v="26"/>
    <n v="158"/>
    <s v="SB-00008505"/>
    <s v="Д, 10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75"/>
    <x v="214"/>
    <x v="26"/>
    <n v="158"/>
    <s v="SB-00008506"/>
    <s v="Овал 30x1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76"/>
    <x v="214"/>
    <x v="26"/>
    <n v="158"/>
    <s v="SB-00008507"/>
    <s v="Ш, 15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x24шт"/>
    <s v="350мА"/>
    <x v="2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7"/>
    <n v="1.554E-2"/>
    <x v="61"/>
    <x v="4"/>
    <s v="100 000 ч"/>
  </r>
  <r>
    <x v="877"/>
    <x v="215"/>
    <x v="27"/>
    <n v="151"/>
    <s v="SB-00007071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x36шт"/>
    <s v="350мА"/>
    <x v="1"/>
    <s v="Литой экструдированный алюминиевый анодированный профиль"/>
    <s v="Консоль на трубу до 55мм"/>
    <x v="208"/>
    <n v="2.7380000000000002E-2"/>
    <x v="65"/>
    <x v="2"/>
    <s v="100 000 ч"/>
  </r>
  <r>
    <x v="878"/>
    <x v="215"/>
    <x v="27"/>
    <n v="151"/>
    <s v="SB-00005847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9"/>
    <n v="2.7380000000000002E-2"/>
    <x v="65"/>
    <x v="2"/>
    <s v="100 000 ч"/>
  </r>
  <r>
    <x v="879"/>
    <x v="215"/>
    <x v="27"/>
    <n v="151"/>
    <s v="SB-00013456"/>
    <s v="К, 2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9"/>
    <n v="2.7380000000000002E-2"/>
    <x v="65"/>
    <x v="2"/>
    <s v="100 000 ч"/>
  </r>
  <r>
    <x v="880"/>
    <x v="215"/>
    <x v="27"/>
    <n v="151"/>
    <s v="SB-00013457"/>
    <s v="К, 35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9"/>
    <n v="2.7380000000000002E-2"/>
    <x v="65"/>
    <x v="2"/>
    <s v="100 000 ч"/>
  </r>
  <r>
    <x v="881"/>
    <x v="215"/>
    <x v="27"/>
    <n v="151"/>
    <s v="SB-00013458"/>
    <s v="Г, 65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9"/>
    <n v="2.7380000000000002E-2"/>
    <x v="65"/>
    <x v="2"/>
    <s v="100 000 ч"/>
  </r>
  <r>
    <x v="882"/>
    <x v="215"/>
    <x v="27"/>
    <n v="151"/>
    <s v="SB-00007074"/>
    <s v="Д, 10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9"/>
    <n v="2.7380000000000002E-2"/>
    <x v="65"/>
    <x v="2"/>
    <s v="100 000 ч"/>
  </r>
  <r>
    <x v="883"/>
    <x v="215"/>
    <x v="27"/>
    <n v="151"/>
    <s v="SB-00007075"/>
    <s v="Овал 30x12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9"/>
    <n v="2.7380000000000002E-2"/>
    <x v="65"/>
    <x v="2"/>
    <s v="100 000 ч"/>
  </r>
  <r>
    <x v="884"/>
    <x v="215"/>
    <x v="27"/>
    <n v="151"/>
    <s v="SB-00007076"/>
    <s v="Ш, 15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3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09"/>
    <n v="2.7380000000000002E-2"/>
    <x v="65"/>
    <x v="2"/>
    <s v="100 000 ч"/>
  </r>
  <r>
    <x v="885"/>
    <x v="216"/>
    <x v="29"/>
    <n v="158"/>
    <s v="SB-00007095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86"/>
    <x v="216"/>
    <x v="29"/>
    <n v="158"/>
    <s v="SB-00013459"/>
    <s v="К, 20"/>
    <x v="1"/>
    <x v="3"/>
    <x v="2"/>
    <s v="≥0,95"/>
    <s v="Аргос/Трион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87"/>
    <x v="216"/>
    <x v="29"/>
    <n v="158"/>
    <s v="SB-00013460"/>
    <s v="К, 35"/>
    <x v="1"/>
    <x v="3"/>
    <x v="2"/>
    <s v="≥0,95"/>
    <s v="Аргос/Трион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88"/>
    <x v="216"/>
    <x v="29"/>
    <n v="158"/>
    <s v="SB-00013461"/>
    <s v="Г, 65"/>
    <x v="1"/>
    <x v="3"/>
    <x v="2"/>
    <s v="≥0,95"/>
    <s v="Аргос/Трион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89"/>
    <x v="216"/>
    <x v="29"/>
    <n v="158"/>
    <s v="SB-00007098"/>
    <s v="Д, 100"/>
    <x v="1"/>
    <x v="3"/>
    <x v="2"/>
    <s v="≥0,95"/>
    <s v="Аргос/Трион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90"/>
    <x v="216"/>
    <x v="29"/>
    <n v="158"/>
    <s v="SB-00007099"/>
    <s v="Овал 30x120"/>
    <x v="1"/>
    <x v="3"/>
    <x v="2"/>
    <s v="≥0,95"/>
    <s v="Аргос/Трион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91"/>
    <x v="216"/>
    <x v="29"/>
    <n v="158"/>
    <s v="SB-00007100"/>
    <s v="Ш, 150"/>
    <x v="1"/>
    <x v="3"/>
    <x v="2"/>
    <s v="≥0,95"/>
    <s v="Аргос/Трион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92"/>
    <x v="216"/>
    <x v="29"/>
    <n v="158"/>
    <s v="SB-00008508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93"/>
    <x v="216"/>
    <x v="29"/>
    <n v="158"/>
    <s v="SB-00013462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94"/>
    <x v="216"/>
    <x v="29"/>
    <n v="158"/>
    <s v="SB-00013463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95"/>
    <x v="216"/>
    <x v="29"/>
    <n v="158"/>
    <s v="SB-00013464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96"/>
    <x v="216"/>
    <x v="29"/>
    <n v="158"/>
    <s v="SB-00008512"/>
    <s v="Д, 10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97"/>
    <x v="216"/>
    <x v="29"/>
    <n v="158"/>
    <s v="SB-00008513"/>
    <s v="Овал 30x1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98"/>
    <x v="216"/>
    <x v="29"/>
    <n v="158"/>
    <s v="SB-00008514"/>
    <s v="Ш, 15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0"/>
    <n v="2.0160000000000001E-2"/>
    <x v="62"/>
    <x v="4"/>
    <s v="100 000 ч"/>
  </r>
  <r>
    <x v="899"/>
    <x v="217"/>
    <x v="30"/>
    <n v="151"/>
    <s v="SB-00007101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4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1"/>
    <n v="3.5520000000000003E-2"/>
    <x v="66"/>
    <x v="2"/>
    <s v="100 000 ч"/>
  </r>
  <r>
    <x v="900"/>
    <x v="217"/>
    <x v="30"/>
    <n v="151"/>
    <s v="SB-00013465"/>
    <s v="К, 2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4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1"/>
    <n v="3.5520000000000003E-2"/>
    <x v="66"/>
    <x v="2"/>
    <s v="100 000 ч"/>
  </r>
  <r>
    <x v="901"/>
    <x v="217"/>
    <x v="30"/>
    <n v="151"/>
    <s v="SB-00013466"/>
    <s v="К, 35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4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1"/>
    <n v="3.5520000000000003E-2"/>
    <x v="66"/>
    <x v="2"/>
    <s v="100 000 ч"/>
  </r>
  <r>
    <x v="902"/>
    <x v="217"/>
    <x v="30"/>
    <n v="151"/>
    <s v="SB-00013467"/>
    <s v="Г, 65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4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1"/>
    <n v="3.5520000000000003E-2"/>
    <x v="66"/>
    <x v="2"/>
    <s v="100 000 ч"/>
  </r>
  <r>
    <x v="903"/>
    <x v="217"/>
    <x v="30"/>
    <n v="151"/>
    <s v="SB-00007105"/>
    <s v="Д, 10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4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1"/>
    <n v="3.5520000000000003E-2"/>
    <x v="66"/>
    <x v="2"/>
    <s v="100 000 ч"/>
  </r>
  <r>
    <x v="904"/>
    <x v="217"/>
    <x v="30"/>
    <n v="151"/>
    <s v="SB-00007106"/>
    <s v="Овал 30x12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4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1"/>
    <n v="3.5520000000000003E-2"/>
    <x v="66"/>
    <x v="2"/>
    <s v="100 000 ч"/>
  </r>
  <r>
    <x v="905"/>
    <x v="217"/>
    <x v="30"/>
    <n v="151"/>
    <s v="SB-00007107"/>
    <s v="Ш, 15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4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1"/>
    <n v="3.5520000000000003E-2"/>
    <x v="66"/>
    <x v="2"/>
    <s v="100 000 ч"/>
  </r>
  <r>
    <x v="906"/>
    <x v="218"/>
    <x v="91"/>
    <n v="158"/>
    <s v="SB-00008203"/>
    <s v="ШБ, 45x140"/>
    <x v="1"/>
    <x v="3"/>
    <x v="2"/>
    <s v="≥0,95"/>
    <s v="Аргос/Трион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07"/>
    <x v="218"/>
    <x v="91"/>
    <n v="158"/>
    <s v="SB-00013468"/>
    <s v="К, 20"/>
    <x v="1"/>
    <x v="3"/>
    <x v="2"/>
    <s v="≥0,95"/>
    <s v="Аргос/Трион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08"/>
    <x v="218"/>
    <x v="91"/>
    <n v="158"/>
    <s v="SB-00013469"/>
    <s v="К, 35"/>
    <x v="1"/>
    <x v="3"/>
    <x v="2"/>
    <s v="≥0,95"/>
    <s v="Аргос/Трион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09"/>
    <x v="218"/>
    <x v="91"/>
    <n v="158"/>
    <s v="SB-00013470"/>
    <s v="Г, 65"/>
    <x v="1"/>
    <x v="3"/>
    <x v="2"/>
    <s v="≥0,95"/>
    <s v="Аргос/Трион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10"/>
    <x v="218"/>
    <x v="91"/>
    <n v="158"/>
    <s v="SB-00008207"/>
    <s v="Д, 100"/>
    <x v="1"/>
    <x v="3"/>
    <x v="2"/>
    <s v="≥0,95"/>
    <s v="Аргос/Трион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11"/>
    <x v="218"/>
    <x v="91"/>
    <n v="158"/>
    <s v="SB-00008208"/>
    <s v="Овал 30x120"/>
    <x v="1"/>
    <x v="3"/>
    <x v="2"/>
    <s v="≥0,95"/>
    <s v="Аргос/Трион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12"/>
    <x v="218"/>
    <x v="91"/>
    <n v="158"/>
    <s v="SB-00008209"/>
    <s v="Ш, 150"/>
    <x v="1"/>
    <x v="3"/>
    <x v="2"/>
    <s v="≥0,95"/>
    <s v="Аргос/Трион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13"/>
    <x v="218"/>
    <x v="91"/>
    <n v="158"/>
    <s v="SB-00008515"/>
    <s v="ШБ, 45x14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14"/>
    <x v="218"/>
    <x v="91"/>
    <n v="158"/>
    <s v="SB-00013471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15"/>
    <x v="218"/>
    <x v="91"/>
    <n v="158"/>
    <s v="SB-00013472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16"/>
    <x v="218"/>
    <x v="91"/>
    <n v="158"/>
    <s v="SB-00013473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17"/>
    <x v="218"/>
    <x v="91"/>
    <n v="158"/>
    <s v="SB-00008519"/>
    <s v="Д, 10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18"/>
    <x v="218"/>
    <x v="91"/>
    <n v="158"/>
    <s v="SB-00008520"/>
    <s v="Овал 30x1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19"/>
    <x v="218"/>
    <x v="91"/>
    <n v="158"/>
    <s v="SB-00008521"/>
    <s v="Ш, 15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5x24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2"/>
    <n v="0.03"/>
    <x v="27"/>
    <x v="4"/>
    <s v="100 000 ч"/>
  </r>
  <r>
    <x v="920"/>
    <x v="219"/>
    <x v="92"/>
    <n v="151"/>
    <s v="SB-00008210"/>
    <s v="ШБ, 45x14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5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3"/>
    <n v="0.05"/>
    <x v="67"/>
    <x v="2"/>
    <s v="100 000 ч"/>
  </r>
  <r>
    <x v="921"/>
    <x v="219"/>
    <x v="92"/>
    <n v="151"/>
    <s v="SB-00013474"/>
    <s v="К, 2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5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3"/>
    <n v="0.05"/>
    <x v="67"/>
    <x v="2"/>
    <s v="100 000 ч"/>
  </r>
  <r>
    <x v="922"/>
    <x v="219"/>
    <x v="92"/>
    <n v="151"/>
    <s v="SB-00013475"/>
    <s v="К, 35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5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3"/>
    <n v="0.05"/>
    <x v="67"/>
    <x v="2"/>
    <s v="100 000 ч"/>
  </r>
  <r>
    <x v="923"/>
    <x v="219"/>
    <x v="92"/>
    <n v="151"/>
    <s v="SB-00013476"/>
    <s v="Г, 65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5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3"/>
    <n v="0.05"/>
    <x v="67"/>
    <x v="2"/>
    <s v="100 000 ч"/>
  </r>
  <r>
    <x v="924"/>
    <x v="219"/>
    <x v="92"/>
    <n v="151"/>
    <s v="SB-00008214"/>
    <s v="Д, 10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5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3"/>
    <n v="0.05"/>
    <x v="67"/>
    <x v="2"/>
    <s v="100 000 ч"/>
  </r>
  <r>
    <x v="925"/>
    <x v="219"/>
    <x v="92"/>
    <n v="151"/>
    <s v="SB-00008215"/>
    <s v="Овал 30x12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5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3"/>
    <n v="0.05"/>
    <x v="67"/>
    <x v="2"/>
    <s v="100 000 ч"/>
  </r>
  <r>
    <x v="926"/>
    <x v="219"/>
    <x v="92"/>
    <n v="151"/>
    <s v="SB-00008216"/>
    <s v="Ш, 150"/>
    <x v="1"/>
    <x v="3"/>
    <x v="2"/>
    <s v="≥0,95"/>
    <s v="Аргос/Трион (с защитой от 380В и грозозащитой)"/>
    <s v="I"/>
    <s v="ПММА LEDiL "/>
    <s v="&lt;1%"/>
    <x v="2"/>
    <n v="70"/>
    <s v="Osram Duris S8 5x36шт"/>
    <s v="35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213"/>
    <n v="0.05"/>
    <x v="67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927"/>
    <x v="197"/>
    <x v="37"/>
    <n v="151"/>
    <s v="SB-00005827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168 шт"/>
    <s v="117мА"/>
    <x v="2"/>
    <s v="Литой экструдированный алюминиевый анодированный профиль"/>
    <s v="Поворотный кронштейн с хомутом на трубу до 50.8мм"/>
    <x v="214"/>
    <n v="1.1440000000000001E-2"/>
    <x v="51"/>
    <x v="4"/>
    <s v="100 000 ч"/>
  </r>
  <r>
    <x v="928"/>
    <x v="50"/>
    <x v="9"/>
    <n v="158"/>
    <s v="SB-00005828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264 шт"/>
    <s v="117мА"/>
    <x v="2"/>
    <s v="Литой экструдированный алюминиевый анодированный профиль"/>
    <s v="Поворотный кронштейн с хомутом на трубу до 50.8мм"/>
    <x v="215"/>
    <n v="1.1440000000000001E-2"/>
    <x v="5"/>
    <x v="4"/>
    <s v="100 000 ч"/>
  </r>
  <r>
    <x v="929"/>
    <x v="203"/>
    <x v="10"/>
    <n v="160"/>
    <s v="SB-00005829"/>
    <s v="Л, 14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336 шт"/>
    <s v="117мА"/>
    <x v="1"/>
    <s v="Литой экструдированный алюминиевый анодированный профиль"/>
    <s v="Поворотный кронштейн с хомутом на трубу до 50.8мм"/>
    <x v="216"/>
    <n v="1.1275E-2"/>
    <x v="33"/>
    <x v="2"/>
    <s v="100 000 ч"/>
  </r>
  <r>
    <x v="930"/>
    <x v="197"/>
    <x v="37"/>
    <n v="151"/>
    <s v="SB-00008522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168 шт"/>
    <s v="117мА"/>
    <x v="2"/>
    <s v="Литой экструдированный алюминиевый анодированный профиль"/>
    <s v="Поворотный кронштейн с хомутом на трубу до 50.8мм"/>
    <x v="214"/>
    <n v="1.1440000000000001E-2"/>
    <x v="51"/>
    <x v="4"/>
    <s v="100 000 ч"/>
  </r>
  <r>
    <x v="931"/>
    <x v="50"/>
    <x v="9"/>
    <n v="158"/>
    <s v="SB-00008523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264 шт"/>
    <s v="117мА"/>
    <x v="2"/>
    <s v="Литой экструдированный алюминиевый анодированный профиль"/>
    <s v="Поворотный кронштейн с хомутом на трубу до 50.8мм"/>
    <x v="215"/>
    <n v="1.1440000000000001E-2"/>
    <x v="5"/>
    <x v="4"/>
    <s v="100 000 ч"/>
  </r>
  <r>
    <x v="932"/>
    <x v="203"/>
    <x v="10"/>
    <n v="160"/>
    <s v="SB-00008524"/>
    <s v="Л, 14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36 шт"/>
    <s v="117мА"/>
    <x v="1"/>
    <s v="Литой экструдированный алюминиевый анодированный профиль"/>
    <s v="Поворотный кронштейн с хомутом на трубу до 50.8мм"/>
    <x v="216"/>
    <n v="1.1275E-2"/>
    <x v="33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933"/>
    <x v="62"/>
    <x v="19"/>
    <n v="120"/>
    <s v="SB-00017318"/>
    <s v="К, 30"/>
    <x v="1"/>
    <x v="3"/>
    <x v="2"/>
    <s v="≥0,95"/>
    <s v="Аргос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934"/>
    <x v="62"/>
    <x v="19"/>
    <n v="120"/>
    <s v="SB-00017319"/>
    <s v="Г, 60"/>
    <x v="1"/>
    <x v="3"/>
    <x v="2"/>
    <s v="≥0,95"/>
    <s v="Аргос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935"/>
    <x v="62"/>
    <x v="19"/>
    <n v="120"/>
    <s v="SB-00017320"/>
    <s v="Д, 90"/>
    <x v="1"/>
    <x v="3"/>
    <x v="2"/>
    <s v="≥0,95"/>
    <s v="Аргос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936"/>
    <x v="62"/>
    <x v="19"/>
    <n v="120"/>
    <s v="SB-00017321"/>
    <s v="Ш, 150"/>
    <x v="1"/>
    <x v="3"/>
    <x v="2"/>
    <s v="≥0,95"/>
    <s v="Аргос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937"/>
    <x v="62"/>
    <x v="19"/>
    <n v="120"/>
    <s v="SB-00017322"/>
    <s v="ШБ, 157x90"/>
    <x v="1"/>
    <x v="3"/>
    <x v="2"/>
    <s v="≥0,95"/>
    <s v="Аргос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938"/>
    <x v="62"/>
    <x v="19"/>
    <n v="120"/>
    <s v="SB-00017323"/>
    <s v="ШБ, 157x90"/>
    <x v="1"/>
    <x v="3"/>
    <x v="2"/>
    <s v="≥0,95"/>
    <s v="Аргос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Консоль на трубу до 55мм"/>
    <x v="160"/>
    <n v="5.3949999999999996E-3"/>
    <x v="11"/>
    <x v="4"/>
    <s v="100 000 ч"/>
  </r>
  <r>
    <x v="939"/>
    <x v="220"/>
    <x v="93"/>
    <n v="118"/>
    <s v="SB-00017324"/>
    <s v="К, 30"/>
    <x v="1"/>
    <x v="3"/>
    <x v="2"/>
    <s v="≥0,95"/>
    <s v="Аргос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940"/>
    <x v="220"/>
    <x v="93"/>
    <n v="118"/>
    <s v="SB-00017325"/>
    <s v="Г, 60"/>
    <x v="1"/>
    <x v="3"/>
    <x v="2"/>
    <s v="≥0,95"/>
    <s v="Аргос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941"/>
    <x v="220"/>
    <x v="93"/>
    <n v="118"/>
    <s v="SB-00017326"/>
    <s v="Д, 90"/>
    <x v="1"/>
    <x v="3"/>
    <x v="2"/>
    <s v="≥0,95"/>
    <s v="Аргос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942"/>
    <x v="220"/>
    <x v="93"/>
    <n v="118"/>
    <s v="SB-00017327"/>
    <s v="Ш, 150"/>
    <x v="1"/>
    <x v="3"/>
    <x v="2"/>
    <s v="≥0,95"/>
    <s v="Аргос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943"/>
    <x v="220"/>
    <x v="93"/>
    <n v="118"/>
    <s v="SB-00017328"/>
    <s v="ШБ, 157x90"/>
    <x v="1"/>
    <x v="3"/>
    <x v="2"/>
    <s v="≥0,95"/>
    <s v="Аргос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944"/>
    <x v="220"/>
    <x v="93"/>
    <n v="118"/>
    <s v="SB-00017329"/>
    <s v="ШБ, 157x90"/>
    <x v="1"/>
    <x v="3"/>
    <x v="2"/>
    <s v="≥0,95"/>
    <s v="Аргос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Консоль на трубу до 55мм"/>
    <x v="161"/>
    <n v="1.1440000000000001E-2"/>
    <x v="38"/>
    <x v="4"/>
    <s v="100 000 ч"/>
  </r>
  <r>
    <x v="945"/>
    <x v="221"/>
    <x v="45"/>
    <n v="120"/>
    <s v="SB-00017330"/>
    <s v="К, 30"/>
    <x v="1"/>
    <x v="3"/>
    <x v="2"/>
    <s v="≥0,95"/>
    <s v="Аргос"/>
    <s v="II"/>
    <s v="ПММА"/>
    <s v="&lt;1%"/>
    <x v="2"/>
    <n v="80"/>
    <s v="Samsung 108шт"/>
    <s v="117мА"/>
    <x v="2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946"/>
    <x v="221"/>
    <x v="45"/>
    <n v="120"/>
    <s v="SB-00017331"/>
    <s v="Г, 60"/>
    <x v="1"/>
    <x v="3"/>
    <x v="2"/>
    <s v="≥0,95"/>
    <s v="Аргос"/>
    <s v="II"/>
    <s v="ПММА"/>
    <s v="&lt;1%"/>
    <x v="2"/>
    <n v="80"/>
    <s v="Samsung 108шт"/>
    <s v="117мА"/>
    <x v="2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947"/>
    <x v="221"/>
    <x v="45"/>
    <n v="120"/>
    <s v="SB-00017332"/>
    <s v="Д, 90"/>
    <x v="1"/>
    <x v="3"/>
    <x v="2"/>
    <s v="≥0,95"/>
    <s v="Аргос"/>
    <s v="II"/>
    <s v="ПММА"/>
    <s v="&lt;1%"/>
    <x v="2"/>
    <n v="80"/>
    <s v="Samsung 108шт"/>
    <s v="117мА"/>
    <x v="2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948"/>
    <x v="221"/>
    <x v="45"/>
    <n v="120"/>
    <s v="SB-00017333"/>
    <s v="Ш, 150"/>
    <x v="1"/>
    <x v="3"/>
    <x v="2"/>
    <s v="≥0,95"/>
    <s v="Аргос"/>
    <s v="II"/>
    <s v="ПММА"/>
    <s v="&lt;1%"/>
    <x v="2"/>
    <n v="80"/>
    <s v="Samsung 108шт"/>
    <s v="117мА"/>
    <x v="2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949"/>
    <x v="221"/>
    <x v="45"/>
    <n v="120"/>
    <s v="SB-00017334"/>
    <s v="ШБ, 157x90"/>
    <x v="1"/>
    <x v="3"/>
    <x v="2"/>
    <s v="≥0,95"/>
    <s v="Аргос"/>
    <s v="II"/>
    <s v="ПММА"/>
    <s v="&lt;1%"/>
    <x v="2"/>
    <n v="80"/>
    <s v="Samsung 108шт"/>
    <s v="117мА"/>
    <x v="2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950"/>
    <x v="221"/>
    <x v="45"/>
    <n v="120"/>
    <s v="SB-00017335"/>
    <s v="ШБ, 157x90"/>
    <x v="1"/>
    <x v="3"/>
    <x v="2"/>
    <s v="≥0,95"/>
    <s v="Аргос"/>
    <s v="II"/>
    <s v="ПММА"/>
    <s v="&lt;1%"/>
    <x v="2"/>
    <n v="80"/>
    <s v="Samsung 108шт"/>
    <s v="117мА"/>
    <x v="2"/>
    <s v="Литой экструдированный алюминиевый анодированный профиль"/>
    <s v="Консоль на трубу до 55мм"/>
    <x v="162"/>
    <n v="1.6951999999999998E-2"/>
    <x v="23"/>
    <x v="2"/>
    <s v="100 000 ч"/>
  </r>
  <r>
    <x v="951"/>
    <x v="62"/>
    <x v="19"/>
    <n v="120"/>
    <s v="SB-00017336"/>
    <s v="К, 30"/>
    <x v="1"/>
    <x v="3"/>
    <x v="2"/>
    <s v="≥0,95"/>
    <s v="Аргос с защитой от 380 В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952"/>
    <x v="62"/>
    <x v="19"/>
    <n v="120"/>
    <s v="SB-00017337"/>
    <s v="Г, 60"/>
    <x v="1"/>
    <x v="3"/>
    <x v="2"/>
    <s v="≥0,95"/>
    <s v="Аргос с защитой от 380 В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953"/>
    <x v="62"/>
    <x v="19"/>
    <n v="120"/>
    <s v="SB-00017338"/>
    <s v="Д, 90"/>
    <x v="1"/>
    <x v="3"/>
    <x v="2"/>
    <s v="≥0,95"/>
    <s v="Аргос с защитой от 380 В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954"/>
    <x v="62"/>
    <x v="19"/>
    <n v="120"/>
    <s v="SB-00017339"/>
    <s v="Ш, 150"/>
    <x v="1"/>
    <x v="3"/>
    <x v="2"/>
    <s v="≥0,95"/>
    <s v="Аргос с защитой от 380 В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955"/>
    <x v="62"/>
    <x v="19"/>
    <n v="120"/>
    <s v="SB-00017340"/>
    <s v="ШБ, 157x90"/>
    <x v="1"/>
    <x v="3"/>
    <x v="2"/>
    <s v="≥0,95"/>
    <s v="Аргос с защитой от 380 В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Поворотный кронштейн с хомутом на трубу до 50.8мм"/>
    <x v="160"/>
    <n v="5.3949999999999996E-3"/>
    <x v="11"/>
    <x v="4"/>
    <s v="100 000 ч"/>
  </r>
  <r>
    <x v="956"/>
    <x v="62"/>
    <x v="19"/>
    <n v="120"/>
    <s v="SB-00017341"/>
    <s v="ШБ, 157x90"/>
    <x v="1"/>
    <x v="3"/>
    <x v="2"/>
    <s v="≥0,95"/>
    <s v="Аргос с защитой от 380 В"/>
    <s v="II"/>
    <s v="ПММА"/>
    <s v="&lt;1%"/>
    <x v="2"/>
    <n v="80"/>
    <s v="Samsung 36шт"/>
    <s v="117мА"/>
    <x v="2"/>
    <s v="Литой экструдированный алюминиевый анодированный профиль"/>
    <s v="Консоль на трубу до 55мм"/>
    <x v="160"/>
    <n v="5.3949999999999996E-3"/>
    <x v="11"/>
    <x v="4"/>
    <s v="100 000 ч"/>
  </r>
  <r>
    <x v="957"/>
    <x v="220"/>
    <x v="93"/>
    <n v="118"/>
    <s v="SB-00017342"/>
    <s v="К, 30"/>
    <x v="1"/>
    <x v="3"/>
    <x v="2"/>
    <s v="≥0,95"/>
    <s v="Аргос с защитой от 380 В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958"/>
    <x v="220"/>
    <x v="93"/>
    <n v="118"/>
    <s v="SB-00017343"/>
    <s v="Г, 60"/>
    <x v="1"/>
    <x v="3"/>
    <x v="2"/>
    <s v="≥0,95"/>
    <s v="Аргос с защитой от 380 В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959"/>
    <x v="220"/>
    <x v="93"/>
    <n v="118"/>
    <s v="SB-00017344"/>
    <s v="Д, 90"/>
    <x v="1"/>
    <x v="3"/>
    <x v="2"/>
    <s v="≥0,95"/>
    <s v="Аргос с защитой от 380 В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960"/>
    <x v="220"/>
    <x v="93"/>
    <n v="118"/>
    <s v="SB-00017345"/>
    <s v="Ш, 150"/>
    <x v="1"/>
    <x v="3"/>
    <x v="2"/>
    <s v="≥0,95"/>
    <s v="Аргос с защитой от 380 В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961"/>
    <x v="220"/>
    <x v="93"/>
    <n v="118"/>
    <s v="SB-00017346"/>
    <s v="ШБ, 157x90"/>
    <x v="1"/>
    <x v="3"/>
    <x v="2"/>
    <s v="≥0,95"/>
    <s v="Аргос с защитой от 380 В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Поворотный кронштейн с хомутом на трубу до 50.8мм"/>
    <x v="161"/>
    <n v="1.1440000000000001E-2"/>
    <x v="38"/>
    <x v="4"/>
    <s v="100 000 ч"/>
  </r>
  <r>
    <x v="962"/>
    <x v="220"/>
    <x v="93"/>
    <n v="118"/>
    <s v="SB-00017347"/>
    <s v="ШБ, 157x90"/>
    <x v="1"/>
    <x v="3"/>
    <x v="2"/>
    <s v="≥0,95"/>
    <s v="Аргос с защитой от 380 В"/>
    <s v="II"/>
    <s v="ПММА"/>
    <s v="&lt;1%"/>
    <x v="2"/>
    <n v="80"/>
    <s v="Samsung 72шт"/>
    <s v="117мА"/>
    <x v="2"/>
    <s v="Литой экструдированный алюминиевый анодированный профиль"/>
    <s v="Консоль на трубу до 55мм"/>
    <x v="161"/>
    <n v="1.1440000000000001E-2"/>
    <x v="38"/>
    <x v="4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963"/>
    <x v="222"/>
    <x v="32"/>
    <n v="152"/>
    <s v="SB-00019307"/>
    <s v="Д.120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7"/>
    <s v="0.0013"/>
    <x v="20"/>
    <x v="2"/>
    <s v="100 000 ч"/>
  </r>
  <r>
    <x v="964"/>
    <x v="223"/>
    <x v="32"/>
    <n v="147"/>
    <s v="SB-00019308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7"/>
    <s v="0.0013"/>
    <x v="68"/>
    <x v="2"/>
    <s v="100 000 ч"/>
  </r>
  <r>
    <x v="965"/>
    <x v="223"/>
    <x v="32"/>
    <n v="147"/>
    <s v="SB-00019309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7"/>
    <s v="0.0013"/>
    <x v="68"/>
    <x v="2"/>
    <s v="100 000 ч"/>
  </r>
  <r>
    <x v="966"/>
    <x v="223"/>
    <x v="32"/>
    <n v="147"/>
    <s v="SB-00019310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7"/>
    <s v="0.0013"/>
    <x v="68"/>
    <x v="2"/>
    <s v="100 000 ч"/>
  </r>
  <r>
    <x v="967"/>
    <x v="223"/>
    <x v="32"/>
    <n v="147"/>
    <s v="SB-00019311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7"/>
    <s v="0.0013"/>
    <x v="68"/>
    <x v="2"/>
    <s v="100 000 ч"/>
  </r>
  <r>
    <x v="968"/>
    <x v="223"/>
    <x v="32"/>
    <n v="147"/>
    <m/>
    <s v="Овал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7"/>
    <s v="0.0013"/>
    <x v="68"/>
    <x v="2"/>
    <s v="100 000 ч"/>
  </r>
  <r>
    <x v="969"/>
    <x v="224"/>
    <x v="33"/>
    <n v="152"/>
    <s v="SB-00019312"/>
    <s v="Д.120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8"/>
    <s v="0.0026"/>
    <x v="69"/>
    <x v="2"/>
    <s v="100 000 ч"/>
  </r>
  <r>
    <x v="970"/>
    <x v="225"/>
    <x v="33"/>
    <n v="147"/>
    <s v="SB-00019313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8"/>
    <s v="0.0026"/>
    <x v="12"/>
    <x v="2"/>
    <s v="100 000 ч"/>
  </r>
  <r>
    <x v="971"/>
    <x v="225"/>
    <x v="33"/>
    <n v="147"/>
    <s v="SB-00019314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8"/>
    <s v="0.0026"/>
    <x v="12"/>
    <x v="2"/>
    <s v="100 000 ч"/>
  </r>
  <r>
    <x v="972"/>
    <x v="225"/>
    <x v="33"/>
    <n v="147"/>
    <s v="SB-00019315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8"/>
    <s v="0.0026"/>
    <x v="12"/>
    <x v="2"/>
    <s v="100 000 ч"/>
  </r>
  <r>
    <x v="973"/>
    <x v="225"/>
    <x v="33"/>
    <n v="147"/>
    <s v="SB-00019316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8"/>
    <s v="0.0026"/>
    <x v="12"/>
    <x v="2"/>
    <s v="100 000 ч"/>
  </r>
  <r>
    <x v="974"/>
    <x v="225"/>
    <x v="33"/>
    <n v="147"/>
    <m/>
    <s v="Овал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8"/>
    <s v="0.0026"/>
    <x v="12"/>
    <x v="2"/>
    <s v="100 000 ч"/>
  </r>
  <r>
    <x v="975"/>
    <x v="226"/>
    <x v="94"/>
    <n v="152"/>
    <s v="SB-00019317"/>
    <s v="Д.120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9"/>
    <s v="0.0039"/>
    <x v="21"/>
    <x v="2"/>
    <s v="100 000 ч"/>
  </r>
  <r>
    <x v="976"/>
    <x v="227"/>
    <x v="94"/>
    <n v="147"/>
    <s v="SB-00019318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9"/>
    <s v="0.0039"/>
    <x v="51"/>
    <x v="2"/>
    <s v="100 000 ч"/>
  </r>
  <r>
    <x v="977"/>
    <x v="227"/>
    <x v="94"/>
    <n v="147"/>
    <s v="SB-00019319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9"/>
    <s v="0.0039"/>
    <x v="51"/>
    <x v="2"/>
    <s v="100 000 ч"/>
  </r>
  <r>
    <x v="978"/>
    <x v="227"/>
    <x v="94"/>
    <n v="147"/>
    <s v="SB-00019320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9"/>
    <s v="0.0039"/>
    <x v="51"/>
    <x v="2"/>
    <s v="100 000 ч"/>
  </r>
  <r>
    <x v="979"/>
    <x v="227"/>
    <x v="94"/>
    <n v="147"/>
    <s v="SB-00019321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9"/>
    <s v="0.0039"/>
    <x v="51"/>
    <x v="2"/>
    <s v="100 000 ч"/>
  </r>
  <r>
    <x v="980"/>
    <x v="227"/>
    <x v="94"/>
    <n v="147"/>
    <m/>
    <s v="Овал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19"/>
    <s v="0.0039"/>
    <x v="51"/>
    <x v="2"/>
    <s v="100 000 ч"/>
  </r>
  <r>
    <x v="981"/>
    <x v="53"/>
    <x v="95"/>
    <n v="152"/>
    <s v="SB-00019322"/>
    <s v="Д.120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0"/>
    <s v="0.0051"/>
    <x v="70"/>
    <x v="2"/>
    <s v="100 000 ч"/>
  </r>
  <r>
    <x v="982"/>
    <x v="228"/>
    <x v="95"/>
    <n v="147"/>
    <s v="SB-00019323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0"/>
    <s v="0.0051"/>
    <x v="36"/>
    <x v="2"/>
    <s v="100 000 ч"/>
  </r>
  <r>
    <x v="983"/>
    <x v="228"/>
    <x v="95"/>
    <n v="147"/>
    <s v="SB-00019324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0"/>
    <s v="0.0051"/>
    <x v="36"/>
    <x v="2"/>
    <s v="100 000 ч"/>
  </r>
  <r>
    <x v="984"/>
    <x v="228"/>
    <x v="95"/>
    <n v="147"/>
    <s v="SB-00019325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0"/>
    <s v="0.0051"/>
    <x v="36"/>
    <x v="2"/>
    <s v="100 000 ч"/>
  </r>
  <r>
    <x v="985"/>
    <x v="228"/>
    <x v="95"/>
    <n v="147"/>
    <s v="SB-00019326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0"/>
    <s v="0.0051"/>
    <x v="36"/>
    <x v="2"/>
    <s v="100 000 ч"/>
  </r>
  <r>
    <x v="986"/>
    <x v="228"/>
    <x v="95"/>
    <n v="147"/>
    <m/>
    <s v="Овал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0"/>
    <s v="0.0051"/>
    <x v="36"/>
    <x v="2"/>
    <s v="100 000 ч"/>
  </r>
  <r>
    <x v="987"/>
    <x v="229"/>
    <x v="60"/>
    <n v="152"/>
    <s v="SB-00019327"/>
    <s v="Д.120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1"/>
    <s v="0.0064"/>
    <x v="33"/>
    <x v="2"/>
    <s v="100 000 ч"/>
  </r>
  <r>
    <x v="988"/>
    <x v="230"/>
    <x v="60"/>
    <n v="147"/>
    <s v="SB-00019328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1"/>
    <s v="0.0064"/>
    <x v="71"/>
    <x v="2"/>
    <s v="100 000 ч"/>
  </r>
  <r>
    <x v="989"/>
    <x v="230"/>
    <x v="60"/>
    <n v="147"/>
    <s v="SB-00019329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1"/>
    <s v="0.0064"/>
    <x v="71"/>
    <x v="2"/>
    <s v="100 000 ч"/>
  </r>
  <r>
    <x v="990"/>
    <x v="230"/>
    <x v="60"/>
    <n v="147"/>
    <s v="SB-00019330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1"/>
    <s v="0.0064"/>
    <x v="71"/>
    <x v="2"/>
    <s v="100 000 ч"/>
  </r>
  <r>
    <x v="991"/>
    <x v="230"/>
    <x v="60"/>
    <n v="147"/>
    <s v="SB-00019331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1"/>
    <s v="0.0064"/>
    <x v="71"/>
    <x v="2"/>
    <s v="100 000 ч"/>
  </r>
  <r>
    <x v="992"/>
    <x v="230"/>
    <x v="60"/>
    <n v="147"/>
    <m/>
    <s v="Овал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1"/>
    <s v="0.0064"/>
    <x v="71"/>
    <x v="2"/>
    <s v="100 000 ч"/>
  </r>
  <r>
    <x v="993"/>
    <x v="231"/>
    <x v="96"/>
    <n v="152"/>
    <s v="SB-00019332"/>
    <s v="Д.120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2"/>
    <s v="0.0078"/>
    <x v="24"/>
    <x v="2"/>
    <s v="100 000 ч"/>
  </r>
  <r>
    <x v="994"/>
    <x v="232"/>
    <x v="96"/>
    <n v="147"/>
    <s v="SB-00019333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2"/>
    <s v="0.0078"/>
    <x v="23"/>
    <x v="2"/>
    <s v="100 000 ч"/>
  </r>
  <r>
    <x v="995"/>
    <x v="232"/>
    <x v="96"/>
    <n v="147"/>
    <s v="SB-00019334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2"/>
    <s v="0.0078"/>
    <x v="23"/>
    <x v="2"/>
    <s v="100 000 ч"/>
  </r>
  <r>
    <x v="996"/>
    <x v="232"/>
    <x v="96"/>
    <n v="147"/>
    <s v="SB-00019335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2"/>
    <s v="0.0078"/>
    <x v="23"/>
    <x v="2"/>
    <s v="100 000 ч"/>
  </r>
  <r>
    <x v="997"/>
    <x v="232"/>
    <x v="96"/>
    <n v="147"/>
    <s v="SB-00019336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2"/>
    <s v="0.0078"/>
    <x v="23"/>
    <x v="2"/>
    <s v="100 000 ч"/>
  </r>
  <r>
    <x v="998"/>
    <x v="232"/>
    <x v="96"/>
    <n v="147"/>
    <m/>
    <s v="Овал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2"/>
    <s v="0.0078"/>
    <x v="23"/>
    <x v="2"/>
    <s v="100 000 ч"/>
  </r>
  <r>
    <x v="999"/>
    <x v="233"/>
    <x v="36"/>
    <n v="152"/>
    <s v="SB-00019337"/>
    <s v="Д.120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3"/>
    <s v="0.0102"/>
    <x v="7"/>
    <x v="2"/>
    <s v="100 000 ч"/>
  </r>
  <r>
    <x v="1000"/>
    <x v="234"/>
    <x v="36"/>
    <n v="147"/>
    <s v="SB-00019338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3"/>
    <s v="0.0102"/>
    <x v="10"/>
    <x v="2"/>
    <s v="100 000 ч"/>
  </r>
  <r>
    <x v="1001"/>
    <x v="234"/>
    <x v="36"/>
    <n v="147"/>
    <s v="SB-00019339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3"/>
    <s v="0.0102"/>
    <x v="10"/>
    <x v="2"/>
    <s v="100 000 ч"/>
  </r>
  <r>
    <x v="1002"/>
    <x v="234"/>
    <x v="36"/>
    <n v="147"/>
    <s v="SB-00019340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3"/>
    <s v="0.0102"/>
    <x v="10"/>
    <x v="2"/>
    <s v="100 000 ч"/>
  </r>
  <r>
    <x v="1003"/>
    <x v="234"/>
    <x v="36"/>
    <n v="147"/>
    <s v="SB-00019341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3"/>
    <s v="0.0102"/>
    <x v="10"/>
    <x v="2"/>
    <s v="100 000 ч"/>
  </r>
  <r>
    <x v="1004"/>
    <x v="234"/>
    <x v="36"/>
    <n v="147"/>
    <m/>
    <s v="Овал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3"/>
    <s v="0.0102"/>
    <x v="10"/>
    <x v="2"/>
    <s v="100 000 ч"/>
  </r>
  <r>
    <x v="1005"/>
    <x v="235"/>
    <x v="87"/>
    <n v="152"/>
    <s v="SB-00019342"/>
    <s v="Д.120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4"/>
    <s v="0.013"/>
    <x v="72"/>
    <x v="2"/>
    <s v="100 000 ч"/>
  </r>
  <r>
    <x v="1006"/>
    <x v="236"/>
    <x v="87"/>
    <n v="147"/>
    <s v="SB-00019343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4"/>
    <s v="0.013"/>
    <x v="73"/>
    <x v="2"/>
    <s v="100 000 ч"/>
  </r>
  <r>
    <x v="1007"/>
    <x v="236"/>
    <x v="87"/>
    <n v="147"/>
    <s v="SB-00019344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4"/>
    <s v="0.013"/>
    <x v="73"/>
    <x v="2"/>
    <s v="100 000 ч"/>
  </r>
  <r>
    <x v="1008"/>
    <x v="236"/>
    <x v="87"/>
    <n v="147"/>
    <s v="SB-00019345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4"/>
    <s v="0.013"/>
    <x v="73"/>
    <x v="2"/>
    <s v="100 000 ч"/>
  </r>
  <r>
    <x v="1009"/>
    <x v="236"/>
    <x v="87"/>
    <n v="147"/>
    <s v="SB-00019346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4"/>
    <s v="0.013"/>
    <x v="73"/>
    <x v="2"/>
    <s v="100 000 ч"/>
  </r>
  <r>
    <x v="1010"/>
    <x v="236"/>
    <x v="87"/>
    <n v="147"/>
    <m/>
    <s v="Овал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350мА"/>
    <x v="1"/>
    <s v="Литой экструдированный алюминиевый анодированный профиль"/>
    <s v="Поворотный кронштейн"/>
    <x v="224"/>
    <s v="0.013"/>
    <x v="73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011"/>
    <x v="237"/>
    <x v="97"/>
    <n v="130"/>
    <s v="SB-00019347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5"/>
    <s v="0.014"/>
    <x v="74"/>
    <x v="2"/>
    <s v="100 000 ч"/>
  </r>
  <r>
    <x v="1012"/>
    <x v="237"/>
    <x v="97"/>
    <n v="130"/>
    <s v="SB-00019348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5"/>
    <s v="0.014"/>
    <x v="74"/>
    <x v="2"/>
    <s v="100 000 ч"/>
  </r>
  <r>
    <x v="1013"/>
    <x v="237"/>
    <x v="97"/>
    <n v="130"/>
    <s v="SB-00019349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5"/>
    <s v="0.014"/>
    <x v="74"/>
    <x v="2"/>
    <s v="100 000 ч"/>
  </r>
  <r>
    <x v="1014"/>
    <x v="237"/>
    <x v="97"/>
    <n v="130"/>
    <s v="SB-00019350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5"/>
    <s v="0.014"/>
    <x v="74"/>
    <x v="2"/>
    <s v="100 000 ч"/>
  </r>
  <r>
    <x v="1015"/>
    <x v="238"/>
    <x v="98"/>
    <n v="130"/>
    <s v="SB-00019351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6"/>
    <s v="0.019"/>
    <x v="63"/>
    <x v="2"/>
    <s v="100 000 ч"/>
  </r>
  <r>
    <x v="1016"/>
    <x v="238"/>
    <x v="98"/>
    <n v="130"/>
    <s v="SB-00019352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6"/>
    <s v="0.019"/>
    <x v="63"/>
    <x v="2"/>
    <s v="100 000 ч"/>
  </r>
  <r>
    <x v="1017"/>
    <x v="238"/>
    <x v="98"/>
    <n v="130"/>
    <s v="SB-00019353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6"/>
    <s v="0.019"/>
    <x v="63"/>
    <x v="2"/>
    <s v="100 000 ч"/>
  </r>
  <r>
    <x v="1018"/>
    <x v="238"/>
    <x v="98"/>
    <n v="130"/>
    <s v="SB-00019354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6"/>
    <s v="0.019"/>
    <x v="63"/>
    <x v="2"/>
    <s v="100 000 ч"/>
  </r>
  <r>
    <x v="1019"/>
    <x v="239"/>
    <x v="99"/>
    <n v="130"/>
    <s v="SB-00019355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7"/>
    <s v="0.02"/>
    <x v="75"/>
    <x v="2"/>
    <s v="100 000 ч"/>
  </r>
  <r>
    <x v="1020"/>
    <x v="239"/>
    <x v="99"/>
    <n v="130"/>
    <s v="SB-00019356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7"/>
    <s v="0.02"/>
    <x v="75"/>
    <x v="2"/>
    <s v="100 000 ч"/>
  </r>
  <r>
    <x v="1021"/>
    <x v="239"/>
    <x v="99"/>
    <n v="130"/>
    <s v="SB-00019357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7"/>
    <s v="0.02"/>
    <x v="75"/>
    <x v="2"/>
    <s v="100 000 ч"/>
  </r>
  <r>
    <x v="1022"/>
    <x v="239"/>
    <x v="99"/>
    <n v="130"/>
    <s v="SB-00019358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7"/>
    <s v="0.02"/>
    <x v="75"/>
    <x v="2"/>
    <s v="100 000 ч"/>
  </r>
  <r>
    <x v="1023"/>
    <x v="240"/>
    <x v="47"/>
    <n v="130"/>
    <s v="SB-00019359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8"/>
    <s v="0.027"/>
    <x v="76"/>
    <x v="2"/>
    <s v="100 000 ч"/>
  </r>
  <r>
    <x v="1024"/>
    <x v="240"/>
    <x v="47"/>
    <n v="130"/>
    <s v="SB-00019360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8"/>
    <s v="0.027"/>
    <x v="76"/>
    <x v="2"/>
    <s v="100 000 ч"/>
  </r>
  <r>
    <x v="1025"/>
    <x v="240"/>
    <x v="47"/>
    <n v="130"/>
    <s v="SB-00019361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8"/>
    <s v="0.027"/>
    <x v="76"/>
    <x v="2"/>
    <s v="100 000 ч"/>
  </r>
  <r>
    <x v="1026"/>
    <x v="240"/>
    <x v="47"/>
    <n v="130"/>
    <s v="SB-00019362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8"/>
    <s v="0.027"/>
    <x v="76"/>
    <x v="2"/>
    <s v="100 000 ч"/>
  </r>
  <r>
    <x v="1027"/>
    <x v="240"/>
    <x v="47"/>
    <n v="130"/>
    <s v="SB-00019363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9"/>
    <s v="0.026"/>
    <x v="77"/>
    <x v="2"/>
    <s v="100 000 ч"/>
  </r>
  <r>
    <x v="1028"/>
    <x v="240"/>
    <x v="47"/>
    <n v="130"/>
    <s v="SB-00019364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9"/>
    <s v="0.026"/>
    <x v="77"/>
    <x v="2"/>
    <s v="100 000 ч"/>
  </r>
  <r>
    <x v="1029"/>
    <x v="240"/>
    <x v="47"/>
    <n v="130"/>
    <s v="SB-00019365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9"/>
    <s v="0.026"/>
    <x v="77"/>
    <x v="2"/>
    <s v="100 000 ч"/>
  </r>
  <r>
    <x v="1030"/>
    <x v="240"/>
    <x v="47"/>
    <n v="130"/>
    <s v="SB-00019366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29"/>
    <s v="0.026"/>
    <x v="77"/>
    <x v="2"/>
    <s v="100 000 ч"/>
  </r>
  <r>
    <x v="1031"/>
    <x v="241"/>
    <x v="100"/>
    <n v="130"/>
    <s v="SB-00019367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0"/>
    <s v="0.035"/>
    <x v="78"/>
    <x v="2"/>
    <s v="100 000 ч"/>
  </r>
  <r>
    <x v="1032"/>
    <x v="241"/>
    <x v="100"/>
    <n v="130"/>
    <s v="SB-00019368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0"/>
    <s v="0.035"/>
    <x v="78"/>
    <x v="2"/>
    <s v="100 000 ч"/>
  </r>
  <r>
    <x v="1033"/>
    <x v="241"/>
    <x v="100"/>
    <n v="130"/>
    <s v="SB-00019369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0"/>
    <s v="0.035"/>
    <x v="78"/>
    <x v="2"/>
    <s v="100 000 ч"/>
  </r>
  <r>
    <x v="1034"/>
    <x v="241"/>
    <x v="100"/>
    <n v="130"/>
    <s v="SB-00019370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0"/>
    <s v="0.035"/>
    <x v="78"/>
    <x v="2"/>
    <s v="100 000 ч"/>
  </r>
  <r>
    <x v="1035"/>
    <x v="242"/>
    <x v="101"/>
    <n v="130"/>
    <s v="SB-00019371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1"/>
    <s v="0.0319"/>
    <x v="62"/>
    <x v="2"/>
    <s v="100 000 ч"/>
  </r>
  <r>
    <x v="1036"/>
    <x v="242"/>
    <x v="101"/>
    <n v="130"/>
    <s v="SB-00019372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1"/>
    <s v="0.0319"/>
    <x v="62"/>
    <x v="2"/>
    <s v="100 000 ч"/>
  </r>
  <r>
    <x v="1037"/>
    <x v="242"/>
    <x v="101"/>
    <n v="130"/>
    <s v="SB-00019373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1"/>
    <s v="0.0319"/>
    <x v="62"/>
    <x v="2"/>
    <s v="100 000 ч"/>
  </r>
  <r>
    <x v="1038"/>
    <x v="242"/>
    <x v="101"/>
    <n v="130"/>
    <s v="SB-00019374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1"/>
    <s v="0.0319"/>
    <x v="62"/>
    <x v="2"/>
    <s v="100 000 ч"/>
  </r>
  <r>
    <x v="1039"/>
    <x v="243"/>
    <x v="102"/>
    <n v="130"/>
    <s v="SB-00019375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2"/>
    <s v="0.042"/>
    <x v="79"/>
    <x v="2"/>
    <s v="100 000 ч"/>
  </r>
  <r>
    <x v="1040"/>
    <x v="243"/>
    <x v="102"/>
    <n v="130"/>
    <s v="SB-00019376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2"/>
    <s v="0.042"/>
    <x v="79"/>
    <x v="2"/>
    <s v="100 000 ч"/>
  </r>
  <r>
    <x v="1041"/>
    <x v="243"/>
    <x v="102"/>
    <n v="130"/>
    <s v="SB-00019377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2"/>
    <s v="0.042"/>
    <x v="79"/>
    <x v="2"/>
    <s v="100 000 ч"/>
  </r>
  <r>
    <x v="1042"/>
    <x v="243"/>
    <x v="102"/>
    <n v="130"/>
    <s v="SB-00019378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2"/>
    <s v="0.042"/>
    <x v="79"/>
    <x v="2"/>
    <s v="100 000 ч"/>
  </r>
  <r>
    <x v="1043"/>
    <x v="244"/>
    <x v="103"/>
    <n v="130"/>
    <s v="SB-00019379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3"/>
    <s v="0.038"/>
    <x v="80"/>
    <x v="2"/>
    <s v="100 000 ч"/>
  </r>
  <r>
    <x v="1044"/>
    <x v="244"/>
    <x v="103"/>
    <n v="130"/>
    <s v="SB-00019380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3"/>
    <s v="0.038"/>
    <x v="80"/>
    <x v="2"/>
    <s v="100 000 ч"/>
  </r>
  <r>
    <x v="1045"/>
    <x v="244"/>
    <x v="103"/>
    <n v="130"/>
    <s v="SB-00019381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3"/>
    <s v="0.038"/>
    <x v="80"/>
    <x v="2"/>
    <s v="100 000 ч"/>
  </r>
  <r>
    <x v="1046"/>
    <x v="244"/>
    <x v="103"/>
    <n v="130"/>
    <s v="SB-00019382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3"/>
    <s v="0.038"/>
    <x v="80"/>
    <x v="2"/>
    <s v="100 000 ч"/>
  </r>
  <r>
    <x v="1047"/>
    <x v="245"/>
    <x v="104"/>
    <n v="130"/>
    <s v="SB-00019383"/>
    <s v="К, 8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4"/>
    <s v="0.05"/>
    <x v="81"/>
    <x v="2"/>
    <s v="100 000 ч"/>
  </r>
  <r>
    <x v="1048"/>
    <x v="245"/>
    <x v="104"/>
    <n v="130"/>
    <s v="SB-00019384"/>
    <s v="К, 1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4"/>
    <s v="0.05"/>
    <x v="81"/>
    <x v="2"/>
    <s v="100 000 ч"/>
  </r>
  <r>
    <x v="1049"/>
    <x v="245"/>
    <x v="104"/>
    <n v="130"/>
    <s v="SB-00019385"/>
    <s v="К, 2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4"/>
    <s v="0.05"/>
    <x v="81"/>
    <x v="2"/>
    <s v="100 000 ч"/>
  </r>
  <r>
    <x v="1050"/>
    <x v="245"/>
    <x v="104"/>
    <n v="130"/>
    <s v="SB-00019386"/>
    <s v="Г, 45"/>
    <x v="1"/>
    <x v="3"/>
    <x v="2"/>
    <s v="≥0,95"/>
    <s v="Аргос"/>
    <s v="I"/>
    <s v="Прозрачный поликарбонат + дополнительная оптика, залитая прозрачным компаундом"/>
    <s v="&lt;1%"/>
    <x v="2"/>
    <n v="70"/>
    <s v="Samsung"/>
    <s v="700мА"/>
    <x v="1"/>
    <s v="Литой экструдированный алюминиевый анодированный профиль"/>
    <s v="Поворотный кронштейн"/>
    <x v="234"/>
    <s v="0.05"/>
    <x v="81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051"/>
    <x v="246"/>
    <x v="105"/>
    <n v="152"/>
    <s v="SB-00016931"/>
    <s v="К, 8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175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1052"/>
    <x v="246"/>
    <x v="105"/>
    <n v="152"/>
    <s v="SB-00016932"/>
    <s v="К, 15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175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1053"/>
    <x v="246"/>
    <x v="105"/>
    <n v="152"/>
    <s v="SB-00016933"/>
    <s v="К, 25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175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1054"/>
    <x v="246"/>
    <x v="105"/>
    <n v="152"/>
    <s v="SB-00016934"/>
    <s v="Г, 45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175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1055"/>
    <x v="247"/>
    <x v="95"/>
    <n v="150"/>
    <s v="SB-00016935"/>
    <s v="К, 8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1056"/>
    <x v="247"/>
    <x v="95"/>
    <n v="150"/>
    <s v="SB-00016936"/>
    <s v="К, 15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1057"/>
    <x v="247"/>
    <x v="95"/>
    <n v="150"/>
    <s v="SB-00016937"/>
    <s v="К, 25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1058"/>
    <x v="247"/>
    <x v="95"/>
    <n v="150"/>
    <s v="SB-00016938"/>
    <s v="Г, 45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1059"/>
    <x v="248"/>
    <x v="88"/>
    <n v="134"/>
    <s v="SB-00016939"/>
    <s v="К, 8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525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1060"/>
    <x v="248"/>
    <x v="88"/>
    <n v="134"/>
    <s v="SB-00016940"/>
    <s v="К, 15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525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1061"/>
    <x v="248"/>
    <x v="88"/>
    <n v="134"/>
    <s v="SB-00016941"/>
    <s v="К, 25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525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1062"/>
    <x v="248"/>
    <x v="88"/>
    <n v="134"/>
    <s v="SB-00016942"/>
    <s v="Г, 45"/>
    <x v="1"/>
    <x v="3"/>
    <x v="2"/>
    <s v="≥0,95"/>
    <s v="Аргос / Трион"/>
    <s v="I"/>
    <s v="Поликарбонат Turlens, прозрачный компаунд"/>
    <s v="&lt;1%"/>
    <x v="2"/>
    <n v="70"/>
    <s v="Samsung LH351B 24шт"/>
    <s v="525мА"/>
    <x v="1"/>
    <s v="Литой экструдированный алюминиевый анодированный профиль. Диоды залиты защитным компаундом."/>
    <s v="Поворотный кронштейн"/>
    <x v="235"/>
    <n v="2.1999999999999999E-2"/>
    <x v="5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063"/>
    <x v="35"/>
    <x v="35"/>
    <n v="120"/>
    <s v="SB-00007479"/>
    <s v="Д, 120"/>
    <x v="1"/>
    <x v="2"/>
    <x v="5"/>
    <s v="-"/>
    <s v="-"/>
    <s v="-"/>
    <s v="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6"/>
    <n v="0.01"/>
    <x v="44"/>
    <x v="2"/>
    <s v="100 000 ч"/>
  </r>
  <r>
    <x v="1064"/>
    <x v="35"/>
    <x v="35"/>
    <n v="120"/>
    <s v="SB-00007480"/>
    <s v="К, 15"/>
    <x v="1"/>
    <x v="2"/>
    <x v="5"/>
    <s v="-"/>
    <s v="-"/>
    <s v="-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6"/>
    <n v="0.01"/>
    <x v="44"/>
    <x v="2"/>
    <s v="100 000 ч"/>
  </r>
  <r>
    <x v="1065"/>
    <x v="35"/>
    <x v="35"/>
    <n v="120"/>
    <s v="SB-00007481"/>
    <s v="К, 25"/>
    <x v="1"/>
    <x v="2"/>
    <x v="5"/>
    <s v="-"/>
    <s v="-"/>
    <s v="-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6"/>
    <n v="0.01"/>
    <x v="44"/>
    <x v="2"/>
    <s v="100 000 ч"/>
  </r>
  <r>
    <x v="1066"/>
    <x v="35"/>
    <x v="35"/>
    <n v="120"/>
    <s v="SB-00007482"/>
    <s v="Г, 45"/>
    <x v="1"/>
    <x v="2"/>
    <x v="5"/>
    <s v="-"/>
    <s v="-"/>
    <s v="-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6"/>
    <n v="0.01"/>
    <x v="44"/>
    <x v="2"/>
    <s v="100 000 ч"/>
  </r>
  <r>
    <x v="1067"/>
    <x v="35"/>
    <x v="35"/>
    <n v="120"/>
    <s v="SB-00007483"/>
    <s v="Овал 10x60"/>
    <x v="1"/>
    <x v="2"/>
    <x v="5"/>
    <s v="-"/>
    <s v="-"/>
    <s v="-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6"/>
    <n v="0.01"/>
    <x v="44"/>
    <x v="2"/>
    <s v="100 000 ч"/>
  </r>
  <r>
    <x v="1068"/>
    <x v="34"/>
    <x v="34"/>
    <n v="120"/>
    <s v="SB-00007484"/>
    <s v="Д, 120"/>
    <x v="1"/>
    <x v="2"/>
    <x v="5"/>
    <s v="-"/>
    <s v="-"/>
    <s v="-"/>
    <s v="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7"/>
    <n v="0.01"/>
    <x v="11"/>
    <x v="2"/>
    <s v="100 000 ч"/>
  </r>
  <r>
    <x v="1069"/>
    <x v="34"/>
    <x v="34"/>
    <n v="120"/>
    <s v="SB-00007485"/>
    <s v="К, 15"/>
    <x v="1"/>
    <x v="2"/>
    <x v="5"/>
    <s v="-"/>
    <s v="-"/>
    <s v="-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7"/>
    <n v="0.01"/>
    <x v="11"/>
    <x v="2"/>
    <s v="100 000 ч"/>
  </r>
  <r>
    <x v="1070"/>
    <x v="34"/>
    <x v="34"/>
    <n v="120"/>
    <s v="SB-00007486"/>
    <s v="К, 25"/>
    <x v="1"/>
    <x v="2"/>
    <x v="5"/>
    <s v="-"/>
    <s v="-"/>
    <s v="-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7"/>
    <n v="0.01"/>
    <x v="11"/>
    <x v="2"/>
    <s v="100 000 ч"/>
  </r>
  <r>
    <x v="1071"/>
    <x v="34"/>
    <x v="34"/>
    <n v="120"/>
    <s v="SB-00007487"/>
    <s v="Г, 45"/>
    <x v="1"/>
    <x v="2"/>
    <x v="5"/>
    <s v="-"/>
    <s v="-"/>
    <s v="-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7"/>
    <n v="0.01"/>
    <x v="11"/>
    <x v="2"/>
    <s v="100 000 ч"/>
  </r>
  <r>
    <x v="1072"/>
    <x v="34"/>
    <x v="34"/>
    <n v="120"/>
    <s v="SB-00007488"/>
    <s v="Овал 10x60"/>
    <x v="1"/>
    <x v="2"/>
    <x v="5"/>
    <s v="-"/>
    <s v="-"/>
    <s v="-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7"/>
    <n v="0.01"/>
    <x v="11"/>
    <x v="2"/>
    <s v="100 000 ч"/>
  </r>
  <r>
    <x v="1073"/>
    <x v="33"/>
    <x v="33"/>
    <n v="120"/>
    <s v="SB-00007489"/>
    <s v="Д, 120"/>
    <x v="1"/>
    <x v="2"/>
    <x v="5"/>
    <s v="-"/>
    <s v="-"/>
    <s v="-"/>
    <s v="Прозрачный компаунд"/>
    <s v="&lt;1%"/>
    <x v="2"/>
    <n v="70"/>
    <s v="Samsung LH351B 12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8"/>
    <n v="0.01"/>
    <x v="19"/>
    <x v="2"/>
    <s v="100 000 ч"/>
  </r>
  <r>
    <x v="1074"/>
    <x v="33"/>
    <x v="33"/>
    <n v="120"/>
    <s v="SB-00007490"/>
    <s v="К, 15"/>
    <x v="1"/>
    <x v="2"/>
    <x v="5"/>
    <s v="-"/>
    <s v="-"/>
    <s v="-"/>
    <s v="Поликарбонат Turlens, прозрачный компаунд"/>
    <s v="&lt;1%"/>
    <x v="2"/>
    <n v="70"/>
    <s v="Samsung LH351B 12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8"/>
    <n v="0.01"/>
    <x v="19"/>
    <x v="2"/>
    <s v="100 000 ч"/>
  </r>
  <r>
    <x v="1075"/>
    <x v="33"/>
    <x v="33"/>
    <n v="120"/>
    <s v="SB-00007491"/>
    <s v="К, 25"/>
    <x v="1"/>
    <x v="2"/>
    <x v="5"/>
    <s v="-"/>
    <s v="-"/>
    <s v="-"/>
    <s v="Поликарбонат Turlens, прозрачный компаунд"/>
    <s v="&lt;1%"/>
    <x v="2"/>
    <n v="70"/>
    <s v="Samsung LH351B 12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8"/>
    <n v="0.01"/>
    <x v="19"/>
    <x v="2"/>
    <s v="100 000 ч"/>
  </r>
  <r>
    <x v="1076"/>
    <x v="33"/>
    <x v="33"/>
    <n v="120"/>
    <s v="SB-00007492"/>
    <s v="Г, 45"/>
    <x v="1"/>
    <x v="2"/>
    <x v="5"/>
    <s v="-"/>
    <s v="-"/>
    <s v="-"/>
    <s v="Поликарбонат Turlens, прозрачный компаунд"/>
    <s v="&lt;1%"/>
    <x v="2"/>
    <n v="70"/>
    <s v="Samsung LH351B 12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8"/>
    <n v="0.01"/>
    <x v="19"/>
    <x v="2"/>
    <s v="100 000 ч"/>
  </r>
  <r>
    <x v="1077"/>
    <x v="33"/>
    <x v="33"/>
    <n v="120"/>
    <s v="SB-00007493"/>
    <s v="Овал 10x60"/>
    <x v="1"/>
    <x v="2"/>
    <x v="5"/>
    <s v="-"/>
    <s v="-"/>
    <s v="-"/>
    <s v="Поликарбонат Turlens, прозрачный компаунд"/>
    <s v="&lt;1%"/>
    <x v="2"/>
    <n v="70"/>
    <s v="Samsung LH351B 12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38"/>
    <n v="0.01"/>
    <x v="19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078"/>
    <x v="249"/>
    <x v="19"/>
    <n v="136"/>
    <s v="SB-00004214"/>
    <s v="К, 12"/>
    <x v="1"/>
    <x v="2"/>
    <x v="2"/>
    <s v="≥0,95"/>
    <s v="Аргос/Трион или иной по запросу"/>
    <s v="II"/>
    <s v="ПММА LEDiL "/>
    <s v="&lt;1%"/>
    <x v="2"/>
    <n v="70"/>
    <s v="Samsung LH351B 24шт"/>
    <s v="350mA"/>
    <x v="1"/>
    <s v="Формованный листовой алюминий с порошковой окраской"/>
    <s v="Поворотная лира (опционально хомут на трубу до 50.8мм или рым-болты для подвеса)"/>
    <x v="239"/>
    <n v="5.7959999999999999E-3"/>
    <x v="51"/>
    <x v="2"/>
    <s v="100 000 ч"/>
  </r>
  <r>
    <x v="1079"/>
    <x v="249"/>
    <x v="19"/>
    <n v="136"/>
    <s v="SB-00004215"/>
    <s v="К, 27"/>
    <x v="1"/>
    <x v="2"/>
    <x v="2"/>
    <s v="≥0,95"/>
    <s v="Аргос/Трион или иной по запросу"/>
    <s v="II"/>
    <s v="ПММА LEDiL "/>
    <s v="&lt;1%"/>
    <x v="2"/>
    <n v="70"/>
    <s v="Samsung LH351B 24шт"/>
    <s v="350mA"/>
    <x v="1"/>
    <s v="Формованный листовой алюминий с порошковой окраской"/>
    <s v="Поворотная лира (опционально хомут на трубу до 50.8мм или рым-болты для подвеса)"/>
    <x v="239"/>
    <n v="5.7959999999999999E-3"/>
    <x v="51"/>
    <x v="2"/>
    <s v="100 000 ч"/>
  </r>
  <r>
    <x v="1080"/>
    <x v="249"/>
    <x v="19"/>
    <n v="136"/>
    <s v="SB-00004216"/>
    <s v="Г, 58"/>
    <x v="1"/>
    <x v="2"/>
    <x v="2"/>
    <s v="≥0,95"/>
    <s v="Аргос/Трион или иной по запросу"/>
    <s v="II"/>
    <s v="ПММА LEDiL "/>
    <s v="&lt;1%"/>
    <x v="2"/>
    <n v="70"/>
    <s v="Samsung LH351B 24шт"/>
    <s v="350mA"/>
    <x v="1"/>
    <s v="Формованный листовой алюминий с порошковой окраской"/>
    <s v="Поворотная лира (опционально хомут на трубу до 50.8мм или рым-болты для подвеса)"/>
    <x v="239"/>
    <n v="5.7959999999999999E-3"/>
    <x v="51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081"/>
    <x v="250"/>
    <x v="19"/>
    <n v="49"/>
    <s v="SB-00009766"/>
    <s v="Г, 58"/>
    <x v="1"/>
    <x v="3"/>
    <x v="2"/>
    <n v="0.95"/>
    <s v="MeanWell, DMX декодер"/>
    <s v="I"/>
    <s v="ПММА LEDiL "/>
    <s v="&lt;5%"/>
    <x v="7"/>
    <s v="-"/>
    <s v="ProLight"/>
    <s v="600мА"/>
    <x v="1"/>
    <s v="Экструдированный анодированный алюминиевый профиль"/>
    <s v="Поворотный кронштейн с хомутом на трубу до 50.8мм"/>
    <x v="92"/>
    <n v="0.01"/>
    <x v="12"/>
    <x v="2"/>
    <s v="100 000 ч"/>
  </r>
  <r>
    <x v="1082"/>
    <x v="251"/>
    <x v="20"/>
    <n v="49"/>
    <s v="SB-00009143"/>
    <s v="Г, 58"/>
    <x v="1"/>
    <x v="3"/>
    <x v="2"/>
    <n v="0.95"/>
    <s v="MeanWell, DMX декодер"/>
    <s v="I"/>
    <s v="ПММА LEDiL "/>
    <s v="&lt;5%"/>
    <x v="7"/>
    <s v="-"/>
    <s v="ProLight"/>
    <s v="600мА"/>
    <x v="1"/>
    <s v="Экструдированный анодированный алюминиевый профиль"/>
    <s v="Поворотный кронштейн с хомутом на трубу до 50.8мм"/>
    <x v="62"/>
    <n v="0.01"/>
    <x v="5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083"/>
    <x v="252"/>
    <x v="34"/>
    <n v="56"/>
    <s v="SB-00008390"/>
    <s v="К, 12"/>
    <x v="1"/>
    <x v="3"/>
    <x v="2"/>
    <s v="≥0,95"/>
    <s v="Аргос/Трион с защитой от 380В или иной по запросу"/>
    <s v="II"/>
    <s v="ПММА LEDiL "/>
    <s v="&lt;1%"/>
    <x v="8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084"/>
    <x v="252"/>
    <x v="34"/>
    <n v="56"/>
    <s v="SB-00008391"/>
    <s v="К, 27"/>
    <x v="1"/>
    <x v="3"/>
    <x v="2"/>
    <s v="≥0,95"/>
    <s v="Аргос/Трион с защитой от 380В или иной по запросу"/>
    <s v="II"/>
    <s v="ПММА LEDiL "/>
    <s v="&lt;1%"/>
    <x v="8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085"/>
    <x v="252"/>
    <x v="34"/>
    <n v="56"/>
    <s v="SB-00008392"/>
    <s v="Г, 58"/>
    <x v="1"/>
    <x v="3"/>
    <x v="2"/>
    <s v="≥0,95"/>
    <s v="Аргос/Трион с защитой от 380В или иной по запросу"/>
    <s v="II"/>
    <s v="ПММА LEDiL "/>
    <s v="&lt;1%"/>
    <x v="8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086"/>
    <x v="253"/>
    <x v="106"/>
    <n v="71"/>
    <s v="SB-00008393"/>
    <s v="К, 12"/>
    <x v="1"/>
    <x v="3"/>
    <x v="2"/>
    <s v="≥0,95"/>
    <s v="Аргос/Трион с защитой от 380В или иной по запросу"/>
    <s v="II"/>
    <s v="ПММА LEDiL "/>
    <s v="&lt;1%"/>
    <x v="8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087"/>
    <x v="253"/>
    <x v="106"/>
    <n v="71"/>
    <s v="SB-00008394"/>
    <s v="К, 27"/>
    <x v="1"/>
    <x v="3"/>
    <x v="2"/>
    <s v="≥0,95"/>
    <s v="Аргос/Трион с защитой от 380В или иной по запросу"/>
    <s v="II"/>
    <s v="ПММА LEDiL "/>
    <s v="&lt;1%"/>
    <x v="8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088"/>
    <x v="253"/>
    <x v="106"/>
    <n v="71"/>
    <s v="SB-00008395"/>
    <s v="Г, 58"/>
    <x v="1"/>
    <x v="3"/>
    <x v="2"/>
    <s v="≥0,95"/>
    <s v="Аргос/Трион с защитой от 380В или иной по запросу"/>
    <s v="II"/>
    <s v="ПММА LEDiL "/>
    <s v="&lt;1%"/>
    <x v="8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089"/>
    <x v="254"/>
    <x v="107"/>
    <n v="69"/>
    <s v="SB-00008396"/>
    <s v="К, 12"/>
    <x v="1"/>
    <x v="3"/>
    <x v="2"/>
    <s v="≥0,95"/>
    <s v="Аргос/Трион с защитой от 380В или иной по запросу"/>
    <s v="II"/>
    <s v="ПММА LEDiL "/>
    <s v="&lt;1%"/>
    <x v="8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1090"/>
    <x v="254"/>
    <x v="107"/>
    <n v="69"/>
    <s v="SB-00008397"/>
    <s v="К, 27"/>
    <x v="1"/>
    <x v="3"/>
    <x v="2"/>
    <s v="≥0,95"/>
    <s v="Аргос/Трион с защитой от 380В или иной по запросу"/>
    <s v="II"/>
    <s v="ПММА LEDiL "/>
    <s v="&lt;1%"/>
    <x v="8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1091"/>
    <x v="254"/>
    <x v="107"/>
    <n v="69"/>
    <s v="SB-00008398"/>
    <s v="Г, 58"/>
    <x v="1"/>
    <x v="3"/>
    <x v="2"/>
    <s v="≥0,95"/>
    <s v="Аргос/Трион с защитой от 380В или иной по запросу"/>
    <s v="II"/>
    <s v="ПММА LEDiL "/>
    <s v="&lt;1%"/>
    <x v="8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1092"/>
    <x v="255"/>
    <x v="39"/>
    <n v="66"/>
    <s v="SB-00008399"/>
    <s v="К, 12"/>
    <x v="1"/>
    <x v="3"/>
    <x v="2"/>
    <s v="≥0,95"/>
    <s v="Аргос/Трион с защитой от 380В или иной по запросу"/>
    <s v="II"/>
    <s v="ПММА LEDiL "/>
    <s v="&lt;1%"/>
    <x v="9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093"/>
    <x v="255"/>
    <x v="39"/>
    <n v="66"/>
    <s v="SB-00008400"/>
    <s v="К, 27"/>
    <x v="1"/>
    <x v="3"/>
    <x v="2"/>
    <s v="≥0,95"/>
    <s v="Аргос/Трион с защитой от 380В или иной по запросу"/>
    <s v="II"/>
    <s v="ПММА LEDiL "/>
    <s v="&lt;1%"/>
    <x v="9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094"/>
    <x v="255"/>
    <x v="39"/>
    <n v="66"/>
    <s v="SB-00008401"/>
    <s v="Г, 58"/>
    <x v="1"/>
    <x v="3"/>
    <x v="2"/>
    <s v="≥0,95"/>
    <s v="Аргос/Трион с защитой от 380В или иной по запросу"/>
    <s v="II"/>
    <s v="ПММА LEDiL "/>
    <s v="&lt;1%"/>
    <x v="9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095"/>
    <x v="256"/>
    <x v="61"/>
    <n v="66"/>
    <s v="SB-00008402"/>
    <s v="К, 12"/>
    <x v="1"/>
    <x v="3"/>
    <x v="2"/>
    <s v="≥0,95"/>
    <s v="Аргос/Трион с защитой от 380В или иной по запросу"/>
    <s v="II"/>
    <s v="ПММА LEDiL "/>
    <s v="&lt;1%"/>
    <x v="9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096"/>
    <x v="256"/>
    <x v="61"/>
    <n v="66"/>
    <s v="SB-00008403"/>
    <s v="К, 27"/>
    <x v="1"/>
    <x v="3"/>
    <x v="2"/>
    <s v="≥0,95"/>
    <s v="Аргос/Трион с защитой от 380В или иной по запросу"/>
    <s v="II"/>
    <s v="ПММА LEDiL "/>
    <s v="&lt;1%"/>
    <x v="9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097"/>
    <x v="256"/>
    <x v="61"/>
    <n v="66"/>
    <s v="SB-00008404"/>
    <s v="Г, 58"/>
    <x v="1"/>
    <x v="3"/>
    <x v="2"/>
    <s v="≥0,95"/>
    <s v="Аргос/Трион с защитой от 380В или иной по запросу"/>
    <s v="II"/>
    <s v="ПММА LEDiL "/>
    <s v="&lt;1%"/>
    <x v="9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098"/>
    <x v="36"/>
    <x v="83"/>
    <n v="66"/>
    <s v="SB-00008405"/>
    <s v="К, 12"/>
    <x v="1"/>
    <x v="3"/>
    <x v="2"/>
    <s v="≥0,95"/>
    <s v="Аргос/Трион с защитой от 380В или иной по запросу"/>
    <s v="II"/>
    <s v="ПММА LEDiL "/>
    <s v="&lt;1%"/>
    <x v="9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1099"/>
    <x v="36"/>
    <x v="83"/>
    <n v="66"/>
    <s v="SB-00008406"/>
    <s v="К, 27"/>
    <x v="1"/>
    <x v="3"/>
    <x v="2"/>
    <s v="≥0,95"/>
    <s v="Аргос/Трион с защитой от 380В или иной по запросу"/>
    <s v="II"/>
    <s v="ПММА LEDiL "/>
    <s v="&lt;1%"/>
    <x v="9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1100"/>
    <x v="36"/>
    <x v="83"/>
    <n v="66"/>
    <s v="SB-00008407"/>
    <s v="Г, 58"/>
    <x v="1"/>
    <x v="3"/>
    <x v="2"/>
    <s v="≥0,95"/>
    <s v="Аргос/Трион с защитой от 380В или иной по запросу"/>
    <s v="II"/>
    <s v="ПММА LEDiL "/>
    <s v="&lt;1%"/>
    <x v="9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1101"/>
    <x v="257"/>
    <x v="39"/>
    <n v="19"/>
    <s v="SB-00008408"/>
    <s v="К, 12"/>
    <x v="1"/>
    <x v="3"/>
    <x v="2"/>
    <s v="≥0,95"/>
    <s v="Аргос/Трион с защитой от 380В или иной по запросу"/>
    <s v="II"/>
    <s v="ПММА LEDiL "/>
    <s v="&lt;1%"/>
    <x v="10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102"/>
    <x v="257"/>
    <x v="39"/>
    <n v="19"/>
    <s v="SB-00008409"/>
    <s v="К, 27"/>
    <x v="1"/>
    <x v="3"/>
    <x v="2"/>
    <s v="≥0,95"/>
    <s v="Аргос/Трион с защитой от 380В или иной по запросу"/>
    <s v="II"/>
    <s v="ПММА LEDiL "/>
    <s v="&lt;1%"/>
    <x v="10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103"/>
    <x v="257"/>
    <x v="39"/>
    <n v="19"/>
    <s v="SB-00008410"/>
    <s v="Г, 58"/>
    <x v="1"/>
    <x v="3"/>
    <x v="2"/>
    <s v="≥0,95"/>
    <s v="Аргос/Трион с защитой от 380В или иной по запросу"/>
    <s v="II"/>
    <s v="ПММА LEDiL "/>
    <s v="&lt;1%"/>
    <x v="10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104"/>
    <x v="258"/>
    <x v="61"/>
    <n v="19"/>
    <s v="SB-00008414"/>
    <s v="К, 12"/>
    <x v="1"/>
    <x v="3"/>
    <x v="2"/>
    <s v="≥0,95"/>
    <s v="Аргос/Трион с защитой от 380В или иной по запросу"/>
    <s v="II"/>
    <s v="ПММА LEDiL "/>
    <s v="&lt;1%"/>
    <x v="10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105"/>
    <x v="258"/>
    <x v="61"/>
    <n v="19"/>
    <s v="SB-00008415"/>
    <s v="К, 27"/>
    <x v="1"/>
    <x v="3"/>
    <x v="2"/>
    <s v="≥0,95"/>
    <s v="Аргос/Трион с защитой от 380В или иной по запросу"/>
    <s v="II"/>
    <s v="ПММА LEDiL "/>
    <s v="&lt;1%"/>
    <x v="10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106"/>
    <x v="258"/>
    <x v="61"/>
    <n v="19"/>
    <s v="SB-00008416"/>
    <s v="Г, 58"/>
    <x v="1"/>
    <x v="3"/>
    <x v="2"/>
    <s v="≥0,95"/>
    <s v="Аргос/Трион с защитой от 380В или иной по запросу"/>
    <s v="II"/>
    <s v="ПММА LEDiL "/>
    <s v="&lt;1%"/>
    <x v="10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107"/>
    <x v="259"/>
    <x v="83"/>
    <n v="19"/>
    <s v="SB-00008420"/>
    <s v="К, 12"/>
    <x v="1"/>
    <x v="3"/>
    <x v="2"/>
    <s v="≥0,95"/>
    <s v="Аргос/Трион с защитой от 380В или иной по запросу"/>
    <s v="II"/>
    <s v="ПММА LEDiL "/>
    <s v="&lt;1%"/>
    <x v="10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1108"/>
    <x v="259"/>
    <x v="83"/>
    <n v="19"/>
    <s v="SB-00008421"/>
    <s v="К, 27"/>
    <x v="1"/>
    <x v="3"/>
    <x v="2"/>
    <s v="≥0,95"/>
    <s v="Аргос/Трион с защитой от 380В или иной по запросу"/>
    <s v="II"/>
    <s v="ПММА LEDiL "/>
    <s v="&lt;1%"/>
    <x v="10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1109"/>
    <x v="259"/>
    <x v="83"/>
    <n v="19"/>
    <s v="SB-00008422"/>
    <s v="Г, 58"/>
    <x v="1"/>
    <x v="3"/>
    <x v="2"/>
    <s v="≥0,95"/>
    <s v="Аргос/Трион с защитой от 380В или иной по запросу"/>
    <s v="II"/>
    <s v="ПММА LEDiL "/>
    <s v="&lt;1%"/>
    <x v="10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1110"/>
    <x v="252"/>
    <x v="39"/>
    <n v="45"/>
    <s v="SB-00008411"/>
    <s v="К, 12"/>
    <x v="1"/>
    <x v="3"/>
    <x v="2"/>
    <s v="≥0,95"/>
    <s v="Аргос/Трион с защитой от 380В или иной по запросу"/>
    <s v="II"/>
    <s v="ПММА LEDiL "/>
    <s v="&lt;1%"/>
    <x v="11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111"/>
    <x v="252"/>
    <x v="39"/>
    <n v="45"/>
    <s v="SB-00008412"/>
    <s v="К, 27"/>
    <x v="1"/>
    <x v="3"/>
    <x v="2"/>
    <s v="≥0,95"/>
    <s v="Аргос/Трион с защитой от 380В или иной по запросу"/>
    <s v="II"/>
    <s v="ПММА LEDiL "/>
    <s v="&lt;1%"/>
    <x v="11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112"/>
    <x v="252"/>
    <x v="39"/>
    <n v="45"/>
    <s v="SB-00008413"/>
    <s v="Г, 58"/>
    <x v="1"/>
    <x v="3"/>
    <x v="2"/>
    <s v="≥0,95"/>
    <s v="Аргос/Трион с защитой от 380В или иной по запросу"/>
    <s v="II"/>
    <s v="ПММА LEDiL "/>
    <s v="&lt;1%"/>
    <x v="11"/>
    <s v="-"/>
    <s v="Prolight 12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0"/>
    <n v="5.3949999999999996E-3"/>
    <x v="11"/>
    <x v="2"/>
    <s v="100 000 ч"/>
  </r>
  <r>
    <x v="1113"/>
    <x v="253"/>
    <x v="61"/>
    <n v="45"/>
    <s v="SB-00008417"/>
    <s v="К, 12"/>
    <x v="1"/>
    <x v="3"/>
    <x v="2"/>
    <s v="≥0,95"/>
    <s v="Аргос/Трион с защитой от 380В или иной по запросу"/>
    <s v="II"/>
    <s v="ПММА LEDiL "/>
    <s v="&lt;1%"/>
    <x v="11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114"/>
    <x v="253"/>
    <x v="61"/>
    <n v="45"/>
    <s v="SB-00008418"/>
    <s v="К, 27"/>
    <x v="1"/>
    <x v="3"/>
    <x v="2"/>
    <s v="≥0,95"/>
    <s v="Аргос/Трион с защитой от 380В или иной по запросу"/>
    <s v="II"/>
    <s v="ПММА LEDiL "/>
    <s v="&lt;1%"/>
    <x v="11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115"/>
    <x v="253"/>
    <x v="61"/>
    <n v="45"/>
    <s v="SB-00008419"/>
    <s v="Г, 58"/>
    <x v="1"/>
    <x v="3"/>
    <x v="2"/>
    <s v="≥0,95"/>
    <s v="Аргос/Трион с защитой от 380В или иной по запросу"/>
    <s v="II"/>
    <s v="ПММА LEDiL "/>
    <s v="&lt;1%"/>
    <x v="11"/>
    <s v="-"/>
    <s v="Prolight 24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1"/>
    <n v="1.1440000000000001E-2"/>
    <x v="38"/>
    <x v="2"/>
    <s v="100 000 ч"/>
  </r>
  <r>
    <x v="1116"/>
    <x v="254"/>
    <x v="83"/>
    <n v="45"/>
    <s v="SB-00008423"/>
    <s v="К, 12"/>
    <x v="1"/>
    <x v="3"/>
    <x v="2"/>
    <s v="≥0,95"/>
    <s v="Аргос/Трион с защитой от 380В или иной по запросу"/>
    <s v="II"/>
    <s v="ПММА LEDiL "/>
    <s v="&lt;1%"/>
    <x v="11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1117"/>
    <x v="254"/>
    <x v="83"/>
    <n v="45"/>
    <s v="SB-00008424"/>
    <s v="К, 27"/>
    <x v="1"/>
    <x v="3"/>
    <x v="2"/>
    <s v="≥0,95"/>
    <s v="Аргос/Трион с защитой от 380В или иной по запросу"/>
    <s v="II"/>
    <s v="ПММА LEDiL "/>
    <s v="&lt;1%"/>
    <x v="11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1118"/>
    <x v="254"/>
    <x v="83"/>
    <n v="45"/>
    <s v="SB-00008425"/>
    <s v="Г, 58"/>
    <x v="1"/>
    <x v="3"/>
    <x v="2"/>
    <s v="≥0,95"/>
    <s v="Аргос/Трион с защитой от 380В или иной по запросу"/>
    <s v="II"/>
    <s v="ПММА LEDiL "/>
    <s v="&lt;1%"/>
    <x v="11"/>
    <s v="-"/>
    <s v="Prolight 36шт"/>
    <s v="700мА"/>
    <x v="1"/>
    <s v="Литой экструдированный алюминиевый анодированный профиль"/>
    <s v="Поворотная лира (опционально хомут на трубу до 50.8мм или рым-болты для подвеса)"/>
    <x v="162"/>
    <n v="1.6951999999999998E-2"/>
    <x v="23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119"/>
    <x v="180"/>
    <x v="88"/>
    <n v="90"/>
    <s v="SB-00011803"/>
    <s v="М, 180"/>
    <x v="5"/>
    <x v="2"/>
    <x v="3"/>
    <n v="0.96"/>
    <s v="SVT"/>
    <s v="II"/>
    <s v="Матовый"/>
    <n v="0.9"/>
    <x v="1"/>
    <s v="80+"/>
    <s v="Samsung 2835 168шт"/>
    <s v="65мА"/>
    <x v="1"/>
    <s v="ПММА диаметр 300мм"/>
    <s v="Торшерное на трубу диаметром до 63мм"/>
    <x v="240"/>
    <n v="0.01"/>
    <x v="19"/>
    <x v="2"/>
    <s v="50 000 ч"/>
  </r>
  <r>
    <x v="1120"/>
    <x v="256"/>
    <x v="88"/>
    <n v="100"/>
    <s v="SB-00011857"/>
    <s v="М, 180"/>
    <x v="5"/>
    <x v="2"/>
    <x v="3"/>
    <n v="0.96"/>
    <s v="SVT"/>
    <s v="II"/>
    <s v="Прозрачный"/>
    <n v="0.9"/>
    <x v="1"/>
    <s v="80+"/>
    <s v="Samsung 2835 168шт"/>
    <s v="50мА"/>
    <x v="1"/>
    <s v="ПММА диаметр 300мм"/>
    <s v="Торшерное на трубу диаметром до 63мм"/>
    <x v="240"/>
    <n v="0.01"/>
    <x v="19"/>
    <x v="2"/>
    <s v="50 000 ч"/>
  </r>
  <r>
    <x v="1121"/>
    <x v="256"/>
    <x v="88"/>
    <n v="100"/>
    <s v="SB-00011858"/>
    <s v="М, 180"/>
    <x v="5"/>
    <x v="2"/>
    <x v="3"/>
    <n v="0.96"/>
    <s v="SVT"/>
    <s v="II"/>
    <s v="Золотистый"/>
    <n v="0.9"/>
    <x v="1"/>
    <s v="80+"/>
    <s v="Samsung 2835 168шт"/>
    <s v="50мА"/>
    <x v="1"/>
    <s v="ПММА диаметр 300мм"/>
    <s v="Торшерное на трубу диаметром до 63мм"/>
    <x v="240"/>
    <n v="0.01"/>
    <x v="19"/>
    <x v="2"/>
    <s v="50 000 ч"/>
  </r>
  <r>
    <x v="1122"/>
    <x v="253"/>
    <x v="39"/>
    <n v="90"/>
    <s v="SB-00011859"/>
    <s v="М, 180"/>
    <x v="5"/>
    <x v="2"/>
    <x v="3"/>
    <n v="0.96"/>
    <s v="SVT"/>
    <s v="II"/>
    <s v="Матовый"/>
    <n v="0.9"/>
    <x v="1"/>
    <s v="80+"/>
    <s v="Samsung 2835 168шт"/>
    <s v="50мА"/>
    <x v="1"/>
    <s v="ПММА диаметр 300мм"/>
    <s v="Торшерное на трубу диаметром до 63мм"/>
    <x v="240"/>
    <n v="0.01"/>
    <x v="19"/>
    <x v="2"/>
    <s v="50 000 ч"/>
  </r>
  <r>
    <x v="1123"/>
    <x v="260"/>
    <x v="39"/>
    <n v="115"/>
    <s v="SB-00011860"/>
    <s v="М, 180"/>
    <x v="5"/>
    <x v="2"/>
    <x v="3"/>
    <n v="0.96"/>
    <s v="SVT"/>
    <s v="II"/>
    <s v="Прозрачный"/>
    <n v="0.9"/>
    <x v="1"/>
    <s v="80+"/>
    <s v="Samsung 2835 168шт"/>
    <s v="50мА"/>
    <x v="1"/>
    <s v="ПММА диаметр 300мм"/>
    <s v="Торшерное на трубу диаметром до 63мм"/>
    <x v="240"/>
    <n v="0.01"/>
    <x v="19"/>
    <x v="2"/>
    <s v="50 000 ч"/>
  </r>
  <r>
    <x v="1124"/>
    <x v="260"/>
    <x v="39"/>
    <n v="115"/>
    <s v="SB-00011861"/>
    <s v="М, 180"/>
    <x v="5"/>
    <x v="2"/>
    <x v="3"/>
    <n v="0.96"/>
    <s v="SVT"/>
    <s v="II"/>
    <s v="Золотистый"/>
    <n v="0.9"/>
    <x v="1"/>
    <s v="80+"/>
    <s v="Samsung 2835 168шт"/>
    <s v="50мА"/>
    <x v="1"/>
    <s v="ПММА диаметр 300мм"/>
    <s v="Торшерное на трубу диаметром до 63мм"/>
    <x v="240"/>
    <n v="0.01"/>
    <x v="19"/>
    <x v="2"/>
    <s v="50 000 ч"/>
  </r>
  <r>
    <x v="1125"/>
    <x v="261"/>
    <x v="88"/>
    <n v="107"/>
    <s v="SB-00012885"/>
    <s v="М, 180"/>
    <x v="3"/>
    <x v="3"/>
    <x v="2"/>
    <n v="0.96"/>
    <s v="Аргос/Трион"/>
    <s v="II"/>
    <s v="Матовый ПММА"/>
    <s v="&lt;1%"/>
    <x v="12"/>
    <s v="80+"/>
    <s v="Samsung COB G2 1 шт"/>
    <s v="1050мА"/>
    <x v="1"/>
    <s v="УФ-стойкий ударопрочный поликарбонат"/>
    <s v="Торшерное на трубу диаметром 60мм"/>
    <x v="241"/>
    <n v="0.01"/>
    <x v="35"/>
    <x v="2"/>
    <s v="100 000 ч"/>
  </r>
  <r>
    <x v="1126"/>
    <x v="261"/>
    <x v="88"/>
    <n v="107"/>
    <s v="SB-00012886"/>
    <s v="М, 180"/>
    <x v="3"/>
    <x v="3"/>
    <x v="2"/>
    <n v="0.96"/>
    <s v="Аргос/Трион"/>
    <s v="II"/>
    <s v="Матовый ПММА"/>
    <s v="&lt;1%"/>
    <x v="4"/>
    <s v="80+"/>
    <s v="Samsung COB G2 1 шт"/>
    <s v="1050мА"/>
    <x v="1"/>
    <s v="УФ-стойкий ударопрочный поликарбонат"/>
    <s v="Торшерное на трубу диаметром 60мм"/>
    <x v="241"/>
    <n v="0.01"/>
    <x v="35"/>
    <x v="2"/>
    <s v="100 000 ч"/>
  </r>
  <r>
    <x v="1127"/>
    <x v="261"/>
    <x v="88"/>
    <n v="107"/>
    <s v="SB-00012887"/>
    <s v="М, 180"/>
    <x v="3"/>
    <x v="3"/>
    <x v="2"/>
    <n v="0.96"/>
    <s v="Аргос/Трион"/>
    <s v="II"/>
    <s v="Матовый ПММА"/>
    <s v="&lt;1%"/>
    <x v="1"/>
    <s v="80+"/>
    <s v="Samsung COB G2 1 шт"/>
    <s v="1050мА"/>
    <x v="1"/>
    <s v="УФ-стойкий ударопрочный поликарбонат"/>
    <s v="Торшерное на трубу диаметром 60мм"/>
    <x v="241"/>
    <n v="0.01"/>
    <x v="35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128"/>
    <x v="262"/>
    <x v="60"/>
    <n v="130"/>
    <s v="SB-00018781"/>
    <s v="Д, 120"/>
    <x v="3"/>
    <x v="3"/>
    <x v="2"/>
    <s v="≥0,95"/>
    <s v="Luxdator"/>
    <s v="II"/>
    <s v="Призматический полистирол"/>
    <s v="&lt;1%"/>
    <x v="5"/>
    <n v="80"/>
    <s v="Samsung"/>
    <s v="175мА"/>
    <x v="3"/>
    <s v="Полистирол"/>
    <s v="Накладное/встраиваемое"/>
    <x v="43"/>
    <n v="1.4760000000000001E-2"/>
    <x v="12"/>
    <x v="5"/>
    <s v="60 000 ч"/>
  </r>
  <r>
    <x v="1129"/>
    <x v="180"/>
    <x v="60"/>
    <n v="116.12903225806451"/>
    <s v="SB-00018782"/>
    <s v="Д, 120"/>
    <x v="3"/>
    <x v="3"/>
    <x v="2"/>
    <s v="≥0,95"/>
    <s v="Luxdator"/>
    <s v="II"/>
    <s v="Матовый полистирол"/>
    <s v="&lt;1%"/>
    <x v="5"/>
    <n v="80"/>
    <s v="Samsung"/>
    <s v="175мА"/>
    <x v="3"/>
    <s v="Полистирол"/>
    <s v="Накладное/встраиваемое"/>
    <x v="43"/>
    <n v="1.4760000000000001E-2"/>
    <x v="12"/>
    <x v="5"/>
    <s v="60 000 ч"/>
  </r>
  <r>
    <x v="1130"/>
    <x v="117"/>
    <x v="35"/>
    <n v="130"/>
    <s v="SB-00018783"/>
    <s v="Д, 120"/>
    <x v="3"/>
    <x v="3"/>
    <x v="2"/>
    <s v="≥0,95"/>
    <s v="Luxdator"/>
    <s v="II"/>
    <s v="Призматический полистирол"/>
    <s v="&lt;1%"/>
    <x v="5"/>
    <n v="80"/>
    <s v="Samsung"/>
    <s v="175мА"/>
    <x v="3"/>
    <s v="Полистирол"/>
    <s v="Накладное/встраиваемое"/>
    <x v="43"/>
    <n v="1.4760000000000001E-2"/>
    <x v="12"/>
    <x v="5"/>
    <s v="60 000 ч"/>
  </r>
  <r>
    <x v="1131"/>
    <x v="181"/>
    <x v="35"/>
    <n v="116.11111111111111"/>
    <s v="SB-00018784"/>
    <s v="Д, 120"/>
    <x v="3"/>
    <x v="3"/>
    <x v="2"/>
    <s v="≥0,95"/>
    <s v="Luxdator"/>
    <s v="II"/>
    <s v="Матовый полистирол"/>
    <s v="&lt;1%"/>
    <x v="5"/>
    <n v="80"/>
    <s v="Samsung"/>
    <s v="175мА"/>
    <x v="3"/>
    <s v="Полистирол"/>
    <s v="Накладное/встраиваемое"/>
    <x v="43"/>
    <n v="1.4760000000000001E-2"/>
    <x v="12"/>
    <x v="5"/>
    <s v="60 000 ч"/>
  </r>
  <r>
    <x v="1132"/>
    <x v="262"/>
    <x v="60"/>
    <n v="130"/>
    <s v="SB-00019525"/>
    <s v="Д, 120"/>
    <x v="3"/>
    <x v="2"/>
    <x v="2"/>
    <s v="&gt;0,95"/>
    <s v="Luxdator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4"/>
    <n v="1.4760000000000001E-2"/>
    <x v="12"/>
    <x v="5"/>
    <s v="30 000 ч"/>
  </r>
  <r>
    <x v="1133"/>
    <x v="117"/>
    <x v="35"/>
    <n v="130"/>
    <s v="SB-00019526"/>
    <s v="Д, 120"/>
    <x v="3"/>
    <x v="2"/>
    <x v="2"/>
    <s v="&gt;0,95"/>
    <s v="Luxdator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4"/>
    <n v="1.4760000000000001E-2"/>
    <x v="12"/>
    <x v="5"/>
    <s v="30 000 ч"/>
  </r>
  <r>
    <x v="1134"/>
    <x v="263"/>
    <x v="108"/>
    <n v="138.71428571428572"/>
    <s v="SB-00015936"/>
    <s v="Д, 120"/>
    <x v="4"/>
    <x v="3"/>
    <x v="2"/>
    <s v="≥0,95"/>
    <s v="Аргос"/>
    <s v="I"/>
    <s v="Призматический полистирол"/>
    <s v="&lt;1%"/>
    <x v="5"/>
    <n v="80"/>
    <s v="Edison 84шт"/>
    <s v="100mA"/>
    <x v="3"/>
    <s v="Формованная листовая сталь с порошковой окраской"/>
    <s v="Накладное/встраиваемое"/>
    <x v="242"/>
    <n v="1.4760000000000001E-2"/>
    <x v="9"/>
    <x v="8"/>
    <s v="100 000 ч"/>
  </r>
  <r>
    <x v="1135"/>
    <x v="264"/>
    <x v="106"/>
    <n v="133"/>
    <s v="SB-00015937"/>
    <s v="Д, 120"/>
    <x v="4"/>
    <x v="3"/>
    <x v="2"/>
    <s v="≥0,95"/>
    <s v="Аргос"/>
    <s v="I"/>
    <s v="Призматический полистирол"/>
    <s v="&lt;1%"/>
    <x v="5"/>
    <n v="80"/>
    <s v="Edison 96шт"/>
    <s v="116mA"/>
    <x v="3"/>
    <s v="Формованная листовая сталь с порошковой окраской"/>
    <s v="Накладное/встраиваемое"/>
    <x v="242"/>
    <n v="1.4760000000000001E-2"/>
    <x v="9"/>
    <x v="8"/>
    <s v="100 000 ч"/>
  </r>
  <r>
    <x v="1136"/>
    <x v="265"/>
    <x v="94"/>
    <n v="133"/>
    <s v="SB-00004346"/>
    <s v="Д, 120"/>
    <x v="4"/>
    <x v="2"/>
    <x v="2"/>
    <s v="≥0,95"/>
    <s v="Аргос"/>
    <s v="I"/>
    <s v="Призматический полистирол**"/>
    <s v="&lt;1%"/>
    <x v="2"/>
    <n v="80"/>
    <s v="Edison 0,5W 32шт"/>
    <s v="175mA"/>
    <x v="3"/>
    <s v="Формованная листовая сталь с порошковой окраской"/>
    <s v="Накладное/встраиваемое"/>
    <x v="243"/>
    <n v="1.1904E-2"/>
    <x v="82"/>
    <x v="8"/>
    <s v="100 000 ч"/>
  </r>
  <r>
    <x v="1137"/>
    <x v="181"/>
    <x v="35"/>
    <n v="116"/>
    <s v="SB-00019527"/>
    <s v="Д, 120"/>
    <x v="6"/>
    <x v="3"/>
    <x v="2"/>
    <s v="≥0,95"/>
    <s v="ЮПЗ/Аргос/Трион или иной по запросу"/>
    <s v="I"/>
    <s v="Матовый полистирол"/>
    <s v="&lt;1%"/>
    <x v="13"/>
    <n v="80"/>
    <s v="Samsung/Edison 2835 84шт"/>
    <s v="117мА"/>
    <x v="3"/>
    <s v="Сталь с порошковой покраской"/>
    <s v="Реечный потолок"/>
    <x v="244"/>
    <n v="1.1904E-2"/>
    <x v="24"/>
    <x v="8"/>
    <s v="100 000 ч"/>
  </r>
  <r>
    <x v="1138"/>
    <x v="266"/>
    <x v="41"/>
    <n v="116"/>
    <s v="SB-00019528"/>
    <s v="Д, 120"/>
    <x v="6"/>
    <x v="3"/>
    <x v="2"/>
    <s v="≥0,95"/>
    <s v="ЮПЗ/Аргос/Трион или иной по запросу"/>
    <s v="I"/>
    <s v="Матовый полистирол"/>
    <s v="&lt;1%"/>
    <x v="13"/>
    <n v="80"/>
    <s v="Samsung/Edison 2835 42шт"/>
    <s v="117мА"/>
    <x v="3"/>
    <s v="Сталь с порошковой покраской"/>
    <s v="Реечный потолок"/>
    <x v="245"/>
    <n v="1.1904E-2"/>
    <x v="44"/>
    <x v="8"/>
    <s v="100 000 ч"/>
  </r>
  <r>
    <x v="1139"/>
    <x v="247"/>
    <x v="109"/>
    <n v="114"/>
    <s v="SB-00015380"/>
    <s v="Д, 120"/>
    <x v="3"/>
    <x v="3"/>
    <x v="2"/>
    <s v="≥0,95"/>
    <s v="Аргос"/>
    <s v="I"/>
    <s v="Матовый полистирол"/>
    <s v="&lt;1%"/>
    <x v="5"/>
    <n v="80"/>
    <s v="Edison 252шт"/>
    <s v="38,9мА"/>
    <x v="3"/>
    <s v="Формованная листовая сталь с порошковой окраской"/>
    <s v="Встраиваемое в потолок армстронг"/>
    <x v="246"/>
    <n v="2.4E-2"/>
    <x v="10"/>
    <x v="8"/>
    <s v="100 000 ч"/>
  </r>
  <r>
    <x v="1140"/>
    <x v="267"/>
    <x v="96"/>
    <n v="114"/>
    <s v="SB-00015383"/>
    <s v="Д, 120"/>
    <x v="3"/>
    <x v="3"/>
    <x v="2"/>
    <s v="≥0,95"/>
    <s v="Аргос"/>
    <s v="I"/>
    <s v="Матовый полистирол"/>
    <s v="&lt;1%"/>
    <x v="5"/>
    <n v="80"/>
    <s v="Edison 288шт"/>
    <s v="38,9мА"/>
    <x v="3"/>
    <s v="Формованная листовая сталь с порошковой окраской"/>
    <s v="Встраиваемое в потолок армстронг"/>
    <x v="246"/>
    <n v="2.4E-2"/>
    <x v="10"/>
    <x v="8"/>
    <s v="100 000 ч"/>
  </r>
  <r>
    <x v="1141"/>
    <x v="268"/>
    <x v="71"/>
    <n v="114"/>
    <s v="SB-00015384"/>
    <s v="Д, 120"/>
    <x v="3"/>
    <x v="3"/>
    <x v="2"/>
    <s v="≥0,95"/>
    <s v="Аргос"/>
    <s v="I"/>
    <s v="Матовый полистирол"/>
    <s v="&lt;1%"/>
    <x v="5"/>
    <n v="80"/>
    <s v="Edison 324шт"/>
    <s v="38,9мА"/>
    <x v="3"/>
    <s v="Формованная листовая сталь с порошковой окраской"/>
    <s v="Встраиваемое в потолок армстронг"/>
    <x v="246"/>
    <n v="2.4E-2"/>
    <x v="10"/>
    <x v="8"/>
    <s v="100 000 ч"/>
  </r>
  <r>
    <x v="1142"/>
    <x v="263"/>
    <x v="108"/>
    <n v="138.71428571428572"/>
    <s v="SB-00009797"/>
    <s v="Д, 120"/>
    <x v="4"/>
    <x v="3"/>
    <x v="2"/>
    <s v="≥0,95"/>
    <s v="Аргос"/>
    <s v="I"/>
    <s v="Призматический полистирол"/>
    <s v="&lt;1%"/>
    <x v="5"/>
    <n v="80"/>
    <s v="Edison 84шт"/>
    <s v="100mA"/>
    <x v="3"/>
    <s v="Формованная листовая сталь с порошковой окраской"/>
    <s v="Накладное/встраиваемое в потолок армстронг"/>
    <x v="45"/>
    <n v="2.3064000000000001E-2"/>
    <x v="13"/>
    <x v="8"/>
    <s v="100 000 ч"/>
  </r>
  <r>
    <x v="1143"/>
    <x v="264"/>
    <x v="106"/>
    <n v="133"/>
    <s v="SB-00015242"/>
    <s v="Д, 120"/>
    <x v="4"/>
    <x v="3"/>
    <x v="2"/>
    <s v="≥0,95"/>
    <s v="Аргос"/>
    <s v="I"/>
    <s v="Призматический полистирол"/>
    <s v="&lt;1%"/>
    <x v="5"/>
    <n v="80"/>
    <s v="Edison 96шт"/>
    <s v="116mA"/>
    <x v="3"/>
    <s v="Формованная листовая сталь с порошковой окраской"/>
    <s v="Накладное/встраиваемое в потолок армстронг"/>
    <x v="45"/>
    <n v="2.3064000000000001E-2"/>
    <x v="13"/>
    <x v="8"/>
    <s v="100 000 ч"/>
  </r>
  <r>
    <x v="1144"/>
    <x v="269"/>
    <x v="110"/>
    <n v="134.42553191489361"/>
    <s v="SB-00015243"/>
    <s v="Д, 120"/>
    <x v="4"/>
    <x v="3"/>
    <x v="2"/>
    <s v="≥0,95"/>
    <s v="Аргос"/>
    <s v="I"/>
    <s v="Призматический полистирол"/>
    <s v="&lt;1%"/>
    <x v="5"/>
    <n v="80"/>
    <s v="Edison 120шт"/>
    <s v="116mA"/>
    <x v="3"/>
    <s v="Формованная листовая сталь с порошковой окраской"/>
    <s v="Накладное/встраиваемое в потолок армстронг"/>
    <x v="45"/>
    <n v="2.3064000000000001E-2"/>
    <x v="13"/>
    <x v="8"/>
    <s v="100 000 ч"/>
  </r>
  <r>
    <x v="1145"/>
    <x v="263"/>
    <x v="108"/>
    <n v="138.71428571428572"/>
    <s v="SB-00015866"/>
    <s v="Д, 120"/>
    <x v="4"/>
    <x v="3"/>
    <x v="2"/>
    <s v="≥0,95"/>
    <s v="Аргос"/>
    <s v="I"/>
    <s v="Призматический полистирол"/>
    <s v="&lt;1%"/>
    <x v="5"/>
    <n v="80"/>
    <s v="Edison 84шт"/>
    <s v="100mA"/>
    <x v="3"/>
    <s v="Формованная листовая сталь с порошковой окраской"/>
    <s v="Накладное/встраиваемое в потолок грильято"/>
    <x v="247"/>
    <n v="2.3064000000000001E-2"/>
    <x v="13"/>
    <x v="8"/>
    <s v="100 000 ч"/>
  </r>
  <r>
    <x v="1146"/>
    <x v="264"/>
    <x v="106"/>
    <n v="133"/>
    <s v="SB-00015867"/>
    <s v="Д, 120"/>
    <x v="4"/>
    <x v="3"/>
    <x v="2"/>
    <s v="≥0,95"/>
    <s v="Аргос"/>
    <s v="I"/>
    <s v="Призматический полистирол"/>
    <s v="&lt;1%"/>
    <x v="5"/>
    <n v="80"/>
    <s v="Edison 96шт"/>
    <s v="116mA"/>
    <x v="3"/>
    <s v="Формованная листовая сталь с порошковой окраской"/>
    <s v="Накладное/встраиваемое в потолок грильято"/>
    <x v="247"/>
    <n v="2.3064000000000001E-2"/>
    <x v="13"/>
    <x v="8"/>
    <s v="100 000 ч"/>
  </r>
  <r>
    <x v="1147"/>
    <x v="269"/>
    <x v="110"/>
    <n v="134.42553191489361"/>
    <s v="SB-00015868"/>
    <s v="Д, 120"/>
    <x v="4"/>
    <x v="3"/>
    <x v="2"/>
    <s v="≥0,95"/>
    <s v="Аргос"/>
    <s v="I"/>
    <s v="Призматический полистирол"/>
    <s v="&lt;1%"/>
    <x v="5"/>
    <n v="80"/>
    <s v="Edison 120шт"/>
    <s v="116mA"/>
    <x v="3"/>
    <s v="Формованная листовая сталь с порошковой окраской"/>
    <s v="Накладное/встраиваемое в потолок грильято"/>
    <x v="247"/>
    <n v="2.3064000000000001E-2"/>
    <x v="13"/>
    <x v="8"/>
    <s v="100 000 ч"/>
  </r>
  <r>
    <x v="1148"/>
    <x v="263"/>
    <x v="108"/>
    <n v="138.71428571428572"/>
    <s v="SB-00015869"/>
    <s v="Д, 120"/>
    <x v="3"/>
    <x v="3"/>
    <x v="2"/>
    <s v="≥0,95"/>
    <s v="Аргос"/>
    <s v="I"/>
    <s v="Призматический полистирол"/>
    <s v="&lt;1%"/>
    <x v="5"/>
    <n v="80"/>
    <s v="Edison 84шт"/>
    <s v="100mA"/>
    <x v="3"/>
    <s v="Формованная листовая сталь с порошковой окраской"/>
    <s v="Накладное"/>
    <x v="45"/>
    <n v="2.3064000000000001E-2"/>
    <x v="13"/>
    <x v="8"/>
    <s v="100 000 ч"/>
  </r>
  <r>
    <x v="1149"/>
    <x v="264"/>
    <x v="106"/>
    <n v="133"/>
    <s v="SB-00015870"/>
    <s v="Д, 120"/>
    <x v="3"/>
    <x v="3"/>
    <x v="2"/>
    <s v="≥0,95"/>
    <s v="Аргос"/>
    <s v="I"/>
    <s v="Призматический полистирол"/>
    <s v="&lt;1%"/>
    <x v="5"/>
    <n v="80"/>
    <s v="Edison 96шт"/>
    <s v="116mA"/>
    <x v="3"/>
    <s v="Формованная листовая сталь с порошковой окраской"/>
    <s v="Накладное"/>
    <x v="45"/>
    <n v="2.3064000000000001E-2"/>
    <x v="13"/>
    <x v="8"/>
    <s v="100 000 ч"/>
  </r>
  <r>
    <x v="1150"/>
    <x v="269"/>
    <x v="110"/>
    <n v="134.42553191489361"/>
    <s v="SB-00015871"/>
    <s v="Д, 120"/>
    <x v="3"/>
    <x v="3"/>
    <x v="2"/>
    <s v="≥0,95"/>
    <s v="Аргос"/>
    <s v="I"/>
    <s v="Призматический полистирол"/>
    <s v="&lt;1%"/>
    <x v="5"/>
    <n v="80"/>
    <s v="Edison 120шт"/>
    <s v="116mA"/>
    <x v="3"/>
    <s v="Формованная листовая сталь с порошковой окраской"/>
    <s v="Накладное"/>
    <x v="45"/>
    <n v="2.3064000000000001E-2"/>
    <x v="13"/>
    <x v="8"/>
    <s v="100 000 ч"/>
  </r>
  <r>
    <x v="1151"/>
    <x v="263"/>
    <x v="108"/>
    <n v="138.71428571428572"/>
    <s v="SB-00015872"/>
    <s v="Д, 120"/>
    <x v="3"/>
    <x v="3"/>
    <x v="2"/>
    <s v="≥0,95"/>
    <s v="Аргос"/>
    <s v="I"/>
    <s v="Призматический полистирол"/>
    <s v="&lt;1%"/>
    <x v="5"/>
    <n v="80"/>
    <s v="Edison 84шт"/>
    <s v="100mA"/>
    <x v="3"/>
    <s v="Формованная листовая сталь с порошковой окраской"/>
    <s v="Встраиваемое в потолок армстронг"/>
    <x v="45"/>
    <n v="2.3064000000000001E-2"/>
    <x v="13"/>
    <x v="8"/>
    <s v="100 000 ч"/>
  </r>
  <r>
    <x v="1152"/>
    <x v="264"/>
    <x v="106"/>
    <n v="133"/>
    <s v="SB-00015873"/>
    <s v="Д, 120"/>
    <x v="3"/>
    <x v="3"/>
    <x v="2"/>
    <s v="≥0,95"/>
    <s v="Аргос"/>
    <s v="I"/>
    <s v="Призматический полистирол"/>
    <s v="&lt;1%"/>
    <x v="5"/>
    <n v="80"/>
    <s v="Edison 96шт"/>
    <s v="116mA"/>
    <x v="3"/>
    <s v="Формованная листовая сталь с порошковой окраской"/>
    <s v="Встраиваемое в потолок армстронг"/>
    <x v="45"/>
    <n v="2.3064000000000001E-2"/>
    <x v="13"/>
    <x v="8"/>
    <s v="100 000 ч"/>
  </r>
  <r>
    <x v="1153"/>
    <x v="269"/>
    <x v="110"/>
    <n v="134.42553191489361"/>
    <s v="SB-00015874"/>
    <s v="Д, 120"/>
    <x v="3"/>
    <x v="3"/>
    <x v="2"/>
    <s v="≥0,95"/>
    <s v="Аргос"/>
    <s v="I"/>
    <s v="Призматический полистирол"/>
    <s v="&lt;1%"/>
    <x v="5"/>
    <n v="80"/>
    <s v="Edison 120шт"/>
    <s v="116mA"/>
    <x v="3"/>
    <s v="Формованная листовая сталь с порошковой окраской"/>
    <s v="Встраиваемое в потолок армстронг"/>
    <x v="45"/>
    <n v="2.3064000000000001E-2"/>
    <x v="13"/>
    <x v="8"/>
    <s v="100 000 ч"/>
  </r>
  <r>
    <x v="1154"/>
    <x v="263"/>
    <x v="108"/>
    <n v="139"/>
    <s v="SB-00012926"/>
    <s v="Д, 120"/>
    <x v="3"/>
    <x v="3"/>
    <x v="2"/>
    <s v="&gt;0,95"/>
    <s v="Аргос"/>
    <s v="I"/>
    <s v="Матовый"/>
    <s v="&lt;1%"/>
    <x v="4"/>
    <n v="80"/>
    <s v="Samsung/Edison 2835 72шт"/>
    <s v="117мА"/>
    <x v="3"/>
    <s v="Сталь с порошковой покраской"/>
    <s v="Потолок тип Clip-in"/>
    <x v="248"/>
    <n v="0.01"/>
    <x v="10"/>
    <x v="7"/>
    <s v="100 000 ч"/>
  </r>
  <r>
    <x v="1155"/>
    <x v="264"/>
    <x v="106"/>
    <n v="133"/>
    <s v="SB-00012928"/>
    <s v="Д, 120"/>
    <x v="3"/>
    <x v="3"/>
    <x v="2"/>
    <s v="&gt;0,95"/>
    <s v="Аргос"/>
    <s v="I"/>
    <s v="Матовый"/>
    <s v="&lt;1%"/>
    <x v="4"/>
    <n v="80"/>
    <s v="Samsung/Edison 2835 96шт"/>
    <s v="117мА"/>
    <x v="3"/>
    <s v="Сталь с порошковой покраской"/>
    <s v="Потолок тип Clip-in"/>
    <x v="248"/>
    <n v="0.01"/>
    <x v="10"/>
    <x v="7"/>
    <s v="100 000 ч"/>
  </r>
  <r>
    <x v="1156"/>
    <x v="269"/>
    <x v="110"/>
    <n v="134"/>
    <s v="SB-00012929"/>
    <s v="Д, 120"/>
    <x v="3"/>
    <x v="3"/>
    <x v="2"/>
    <s v="&gt;0,95"/>
    <s v="Аргос"/>
    <s v="I"/>
    <s v="Матовый"/>
    <s v="&lt;1%"/>
    <x v="4"/>
    <n v="80"/>
    <s v="Samsung/Edison 2835 108шт"/>
    <s v="117мА"/>
    <x v="3"/>
    <s v="Сталь с порошковой покраской"/>
    <s v="Потолок тип Clip-in"/>
    <x v="248"/>
    <n v="0.01"/>
    <x v="10"/>
    <x v="7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157"/>
    <x v="53"/>
    <x v="111"/>
    <n v="111"/>
    <s v="SB-00018443"/>
    <s v="Д, 120"/>
    <x v="6"/>
    <x v="2"/>
    <x v="2"/>
    <s v="&gt;0,95"/>
    <s v="Luxdator"/>
    <s v="I"/>
    <s v="Матовый полистирол (равномерная заливка)"/>
    <s v="&lt;1%"/>
    <x v="2"/>
    <n v="80"/>
    <m/>
    <m/>
    <x v="28"/>
    <s v="Алюминий"/>
    <s v="Накладное/встраиваемое"/>
    <x v="249"/>
    <n v="1.4760000000000001E-2"/>
    <x v="12"/>
    <x v="12"/>
    <s v="100 000 ч"/>
  </r>
  <r>
    <x v="1158"/>
    <x v="256"/>
    <x v="35"/>
    <n v="111"/>
    <s v="SB-00018444"/>
    <s v="Д, 120"/>
    <x v="6"/>
    <x v="2"/>
    <x v="2"/>
    <s v="&gt;0,95"/>
    <s v="Luxdator"/>
    <s v="I"/>
    <s v="Матовый полистирол (равномерная заливка)"/>
    <s v="&lt;1%"/>
    <x v="2"/>
    <n v="80"/>
    <m/>
    <m/>
    <x v="28"/>
    <s v="Алюминий"/>
    <s v="Накладное/встраиваемое"/>
    <x v="250"/>
    <n v="1.4760000000000001E-2"/>
    <x v="12"/>
    <x v="1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159"/>
    <x v="270"/>
    <x v="35"/>
    <n v="95"/>
    <s v="SB-00004407"/>
    <s v="Д, 120"/>
    <x v="4"/>
    <x v="2"/>
    <x v="2"/>
    <s v="≥0,95"/>
    <s v="Аргос/Трион или иной по запросу"/>
    <s v="I"/>
    <s v="Матовый"/>
    <s v="&lt;1%"/>
    <x v="2"/>
    <n v="80"/>
    <s v="Samsung LM281B+ 75шт"/>
    <s v="140mA"/>
    <x v="1"/>
    <s v="Литой экструдированный алюминиевый анодированный профиль"/>
    <s v="Подвес"/>
    <x v="251"/>
    <n v="1.3520000000000001E-2"/>
    <x v="38"/>
    <x v="8"/>
    <s v="100 000 ч"/>
  </r>
  <r>
    <x v="1160"/>
    <x v="271"/>
    <x v="6"/>
    <n v="95"/>
    <s v="SB-00004401"/>
    <s v="Д, 120"/>
    <x v="4"/>
    <x v="2"/>
    <x v="2"/>
    <s v="≥0,95"/>
    <s v="Аргос/Трион или иной по запросу"/>
    <s v="I"/>
    <s v="Матовый"/>
    <s v="&lt;1%"/>
    <x v="2"/>
    <n v="80"/>
    <s v="Samsung LM281B+ 100шт"/>
    <s v="140mA"/>
    <x v="1"/>
    <s v="Литой экструдированный алюминиевый анодированный профиль"/>
    <s v="Подвес"/>
    <x v="252"/>
    <n v="1.7420000000000001E-2"/>
    <x v="33"/>
    <x v="8"/>
    <s v="100 000 ч"/>
  </r>
  <r>
    <x v="1161"/>
    <x v="272"/>
    <x v="61"/>
    <n v="95"/>
    <s v="SB-00004404"/>
    <s v="Д, 120"/>
    <x v="4"/>
    <x v="2"/>
    <x v="2"/>
    <s v="≥0,95"/>
    <s v="Аргос/Трион или иной по запросу"/>
    <s v="I"/>
    <s v="Матовый"/>
    <s v="&lt;1%"/>
    <x v="2"/>
    <n v="80"/>
    <s v="Samsung LM281B+ 125шт"/>
    <s v="140mA"/>
    <x v="1"/>
    <s v="Литой экструдированный алюминиевый анодированный профиль"/>
    <s v="Подвес"/>
    <x v="253"/>
    <n v="2.1319999999999999E-2"/>
    <x v="24"/>
    <x v="8"/>
    <s v="100 000 ч"/>
  </r>
  <r>
    <x v="1162"/>
    <x v="270"/>
    <x v="35"/>
    <n v="95"/>
    <s v="SB-00004406"/>
    <s v="Д, 120"/>
    <x v="4"/>
    <x v="2"/>
    <x v="2"/>
    <s v="≥0,95"/>
    <s v="Helvar с диммингом DALI"/>
    <s v="I"/>
    <s v="Матовый"/>
    <s v="&lt;1%"/>
    <x v="2"/>
    <n v="80"/>
    <s v="Samsung LM281B+ 75шт"/>
    <s v="140mA"/>
    <x v="1"/>
    <s v="Литой экструдированный алюминиевый анодированный профиль"/>
    <s v="Подвес"/>
    <x v="251"/>
    <n v="1.3520000000000001E-2"/>
    <x v="38"/>
    <x v="8"/>
    <s v="100 000 ч"/>
  </r>
  <r>
    <x v="1163"/>
    <x v="271"/>
    <x v="6"/>
    <n v="95"/>
    <s v="SB-00004400"/>
    <s v="Д, 120"/>
    <x v="4"/>
    <x v="2"/>
    <x v="2"/>
    <s v="≥0,95"/>
    <s v="Helvar с диммингом DALI"/>
    <s v="I"/>
    <s v="Матовый"/>
    <s v="&lt;1%"/>
    <x v="2"/>
    <n v="80"/>
    <s v="Samsung LM281B+ 100шт"/>
    <s v="140mA"/>
    <x v="1"/>
    <s v="Литой экструдированный алюминиевый анодированный профиль"/>
    <s v="Подвес"/>
    <x v="252"/>
    <n v="1.7420000000000001E-2"/>
    <x v="33"/>
    <x v="8"/>
    <s v="100 000 ч"/>
  </r>
  <r>
    <x v="1164"/>
    <x v="272"/>
    <x v="61"/>
    <n v="95"/>
    <s v="SB-00004403"/>
    <s v="Д, 120"/>
    <x v="4"/>
    <x v="2"/>
    <x v="2"/>
    <s v="≥0,95"/>
    <s v="Helvar с диммингом DALI"/>
    <s v="I"/>
    <s v="Матовый"/>
    <s v="&lt;1%"/>
    <x v="2"/>
    <n v="80"/>
    <s v="Samsung LM281B+ 125шт"/>
    <s v="140mA"/>
    <x v="1"/>
    <s v="Литой экструдированный алюминиевый анодированный профиль"/>
    <s v="Подвес"/>
    <x v="253"/>
    <n v="2.1319999999999999E-2"/>
    <x v="24"/>
    <x v="8"/>
    <s v="100 000 ч"/>
  </r>
  <r>
    <x v="1165"/>
    <x v="273"/>
    <x v="54"/>
    <n v="95"/>
    <s v="SB-00004405"/>
    <s v="Д, 120"/>
    <x v="4"/>
    <x v="2"/>
    <x v="2"/>
    <s v="≥0,95"/>
    <s v="Helvar с диммингом DALI"/>
    <s v="I"/>
    <s v="Матовый"/>
    <s v="&lt;1%"/>
    <x v="2"/>
    <n v="80"/>
    <s v="Samsung LM281B+ 150шт"/>
    <s v="140mA"/>
    <x v="1"/>
    <s v="Литой экструдированный алюминиевый анодированный профиль"/>
    <s v="Подвес"/>
    <x v="254"/>
    <n v="2.47E-2"/>
    <x v="60"/>
    <x v="8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166"/>
    <x v="52"/>
    <x v="39"/>
    <n v="100"/>
    <s v="SB-00011314"/>
    <s v="Д, 120"/>
    <x v="4"/>
    <x v="3"/>
    <x v="2"/>
    <s v="&gt;0,95"/>
    <s v="Аргос или аналог"/>
    <s v="I"/>
    <s v="Матовый"/>
    <s v="&lt;1%"/>
    <x v="14"/>
    <n v="80"/>
    <s v="Honglitronic 120шт"/>
    <s v="70мА"/>
    <x v="3"/>
    <s v="Литой алюминий, АБС-пластик"/>
    <s v="Встраиваемый в потолок из гипсокартона. Диаметр врезного отверстия 200мм."/>
    <x v="255"/>
    <n v="0.01"/>
    <x v="83"/>
    <x v="8"/>
    <s v="100 000 ч"/>
  </r>
  <r>
    <x v="1167"/>
    <x v="52"/>
    <x v="39"/>
    <n v="100"/>
    <s v="SB-00013169"/>
    <s v="Д, 120"/>
    <x v="4"/>
    <x v="3"/>
    <x v="2"/>
    <s v="&gt;0,95"/>
    <s v="Аргос с диммингом 0-10В/ШИМ"/>
    <s v="I"/>
    <s v="Матовый"/>
    <s v="&lt;1%"/>
    <x v="14"/>
    <n v="80"/>
    <s v="Honglitronic 120шт"/>
    <s v="70мА"/>
    <x v="3"/>
    <s v="Литой алюминий, АБС-пластик"/>
    <s v="Встраиваемый в потолок из гипсокартона. Диаметр врезного отверстия 200мм."/>
    <x v="255"/>
    <n v="0.01"/>
    <x v="83"/>
    <x v="6"/>
    <s v="100 000 ч"/>
  </r>
  <r>
    <x v="1168"/>
    <x v="52"/>
    <x v="39"/>
    <n v="100"/>
    <s v="SB-00013170"/>
    <s v="Д, 120"/>
    <x v="4"/>
    <x v="3"/>
    <x v="2"/>
    <s v="&gt;0,95"/>
    <s v="Аргос с DALI"/>
    <s v="I"/>
    <s v="Матовый"/>
    <s v="&lt;1%"/>
    <x v="14"/>
    <n v="80"/>
    <s v="Honglitronic 120шт"/>
    <s v="70мА"/>
    <x v="3"/>
    <s v="Литой алюминий, АБС-пластик"/>
    <s v="Встраиваемый в потолок из гипсокартона. Диаметр врезного отверстия 200мм."/>
    <x v="255"/>
    <n v="0.01"/>
    <x v="83"/>
    <x v="6"/>
    <s v="100 000 ч"/>
  </r>
  <r>
    <x v="1169"/>
    <x v="52"/>
    <x v="39"/>
    <n v="100"/>
    <s v="SB-00011316"/>
    <s v="Д, 120"/>
    <x v="3"/>
    <x v="3"/>
    <x v="2"/>
    <s v="&gt;0,95"/>
    <s v="Аргос или аналог"/>
    <s v="II"/>
    <s v="Матовый"/>
    <s v="&lt;1%"/>
    <x v="14"/>
    <n v="80"/>
    <s v="Honglitronic 120шт"/>
    <s v="70мА"/>
    <x v="3"/>
    <s v="Литой алюминий, АБС-пластик"/>
    <s v="Встраиваемый в потолок из гипсокартона. Диаметр врезного отверстия 200мм."/>
    <x v="255"/>
    <n v="0.01"/>
    <x v="83"/>
    <x v="8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170"/>
    <x v="274"/>
    <x v="6"/>
    <n v="107"/>
    <s v="SB-00007152"/>
    <s v="Д, 120"/>
    <x v="4"/>
    <x v="2"/>
    <x v="2"/>
    <s v="≥0,95"/>
    <s v="Аргос _x000a_(с возможностью настройки мощности)"/>
    <s v="I"/>
    <s v="Призматический полистирол"/>
    <s v="&lt;1%"/>
    <x v="2"/>
    <n v="80"/>
    <s v="Samsung LM281B+ 100шт"/>
    <s v="140mA"/>
    <x v="1"/>
    <s v="Формованная листовая сталь с порошковой окраской"/>
    <s v="Подвес/накладное на ровную поверхность или лоток"/>
    <x v="256"/>
    <n v="0.02"/>
    <x v="43"/>
    <x v="8"/>
    <s v="100 000 ч"/>
  </r>
  <r>
    <x v="1171"/>
    <x v="189"/>
    <x v="61"/>
    <n v="106"/>
    <s v="SB-00006137"/>
    <s v="Д, 120"/>
    <x v="4"/>
    <x v="2"/>
    <x v="2"/>
    <s v="≥0,95"/>
    <s v="Аргос _x000a_(с возможностью настройки мощности)"/>
    <s v="I"/>
    <s v="Призматический полистирол"/>
    <s v="&lt;1%"/>
    <x v="2"/>
    <n v="80"/>
    <s v="Samsung LM281B+ 125шт"/>
    <s v="140mA"/>
    <x v="1"/>
    <s v="Формованная листовая сталь с порошковой окраской"/>
    <s v="Подвес/накладное на ровную поверхность или лоток"/>
    <x v="257"/>
    <n v="2.1255E-2"/>
    <x v="38"/>
    <x v="8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172"/>
    <x v="275"/>
    <x v="85"/>
    <n v="123"/>
    <s v="SB-00016321"/>
    <s v="Д, 120"/>
    <x v="4"/>
    <x v="3"/>
    <x v="2"/>
    <s v="≥0,95"/>
    <s v="Аргос"/>
    <s v="I"/>
    <s v="Призматический полистирол"/>
    <s v="&lt;1%"/>
    <x v="5"/>
    <s v="90+"/>
    <s v="Edison 96шт"/>
    <s v="58mA"/>
    <x v="1"/>
    <s v="Формованная листовая сталь с порошковой окраской"/>
    <s v="Накладное на Г - образные кронштейны"/>
    <x v="258"/>
    <n v="0.1"/>
    <x v="60"/>
    <x v="5"/>
    <s v="100 000 ч"/>
  </r>
  <r>
    <x v="1173"/>
    <x v="276"/>
    <x v="108"/>
    <n v="117"/>
    <s v="SB-00016311"/>
    <s v="Д, 120"/>
    <x v="4"/>
    <x v="3"/>
    <x v="2"/>
    <s v="≥0,95"/>
    <s v="Аргос"/>
    <s v="I"/>
    <s v="Призматический полистирол"/>
    <s v="&lt;1%"/>
    <x v="5"/>
    <s v="90+"/>
    <s v="Edison 84шт"/>
    <s v="100mA"/>
    <x v="1"/>
    <s v="Формованная листовая сталь с порошковой окраской"/>
    <s v="Накладное/встраиваемое в потолок армстронг"/>
    <x v="45"/>
    <n v="2.3064000000000001E-2"/>
    <x v="13"/>
    <x v="8"/>
    <s v="100 000 ч"/>
  </r>
  <r>
    <x v="1174"/>
    <x v="261"/>
    <x v="106"/>
    <n v="113"/>
    <s v="SB-00016312"/>
    <s v="Д, 120"/>
    <x v="4"/>
    <x v="3"/>
    <x v="2"/>
    <s v="≥0,95"/>
    <s v="Аргос"/>
    <s v="I"/>
    <s v="Призматический полистирол"/>
    <s v="&lt;1%"/>
    <x v="5"/>
    <s v="90+"/>
    <s v="Edison 96шт"/>
    <s v="116mA"/>
    <x v="1"/>
    <s v="Формованная листовая сталь с порошковой окраской"/>
    <s v="Накладное/встраиваемое в потолок армстронг"/>
    <x v="45"/>
    <n v="2.3064000000000001E-2"/>
    <x v="13"/>
    <x v="8"/>
    <s v="100 000 ч"/>
  </r>
  <r>
    <x v="1175"/>
    <x v="277"/>
    <x v="110"/>
    <n v="114"/>
    <s v="SB-00016313"/>
    <s v="Д, 120"/>
    <x v="4"/>
    <x v="3"/>
    <x v="2"/>
    <s v="≥0,95"/>
    <s v="Аргос"/>
    <s v="I"/>
    <s v="Призматический полистирол"/>
    <s v="&lt;1%"/>
    <x v="5"/>
    <s v="90+"/>
    <s v="Edison 120шт"/>
    <s v="116mA"/>
    <x v="1"/>
    <s v="Формованная листовая сталь с порошковой окраской"/>
    <s v="Накладное/встраиваемое в потолок армстронг"/>
    <x v="45"/>
    <n v="2.3064000000000001E-2"/>
    <x v="13"/>
    <x v="8"/>
    <s v="100 000 ч"/>
  </r>
  <r>
    <x v="1176"/>
    <x v="59"/>
    <x v="38"/>
    <n v="94"/>
    <s v="SB-00010161"/>
    <s v="Д, 120"/>
    <x v="3"/>
    <x v="2"/>
    <x v="2"/>
    <s v="&gt;0,95"/>
    <s v="Luxdator"/>
    <s v="II"/>
    <s v="Призматический полистирол (опц. Колотый лёд)"/>
    <s v="&lt;1%"/>
    <x v="4"/>
    <s v="90+"/>
    <s v="Everlight 0,5W 144шт"/>
    <s v="58мА"/>
    <x v="3"/>
    <s v="Полистирол"/>
    <s v="Накладное/встраиваемое"/>
    <x v="43"/>
    <n v="1.4760000000000001E-2"/>
    <x v="12"/>
    <x v="5"/>
    <s v="30 000 ч"/>
  </r>
  <r>
    <x v="1177"/>
    <x v="59"/>
    <x v="38"/>
    <n v="94"/>
    <s v="SB-00010162"/>
    <s v="Д, 120"/>
    <x v="3"/>
    <x v="2"/>
    <x v="2"/>
    <s v="&gt;0,95"/>
    <s v="Luxdator"/>
    <s v="II"/>
    <s v="Призматический полистирол (опц. Колотый лёд)"/>
    <s v="&lt;1%"/>
    <x v="4"/>
    <s v="90+"/>
    <s v="Everlight 0,5W 144шт"/>
    <s v="58мА"/>
    <x v="3"/>
    <s v="Полистирол"/>
    <s v="Накладное/встраиваемое"/>
    <x v="44"/>
    <n v="1.4760000000000001E-2"/>
    <x v="12"/>
    <x v="5"/>
    <s v="30 000 ч"/>
  </r>
  <r>
    <x v="1178"/>
    <x v="59"/>
    <x v="38"/>
    <n v="94"/>
    <s v="SB-00016314"/>
    <s v="Д, 90"/>
    <x v="3"/>
    <x v="4"/>
    <x v="2"/>
    <s v="&gt;0,95"/>
    <s v="Трион"/>
    <s v="II"/>
    <s v="Призматический полистирол (опц. Колотый лёд)"/>
    <s v="&lt;1%"/>
    <x v="5"/>
    <s v="90+"/>
    <s v="Everlight 0,5W 72шт"/>
    <s v="117мА"/>
    <x v="3"/>
    <s v="Полистирол"/>
    <s v="Накладное/встраиваемое"/>
    <x v="43"/>
    <n v="1.4760000000000001E-2"/>
    <x v="11"/>
    <x v="5"/>
    <s v="30 000 ч"/>
  </r>
  <r>
    <x v="1179"/>
    <x v="59"/>
    <x v="38"/>
    <n v="94"/>
    <s v="SB-00016315"/>
    <s v="Д, 90"/>
    <x v="3"/>
    <x v="4"/>
    <x v="2"/>
    <s v="&gt;0,95"/>
    <s v="Трион"/>
    <s v="II"/>
    <s v="Призматический полистирол (опц. Колотый лёд)"/>
    <s v="&lt;1%"/>
    <x v="5"/>
    <s v="90+"/>
    <s v="Everlight 0,5W 72шт"/>
    <s v="117мА"/>
    <x v="3"/>
    <s v="Полистирол"/>
    <s v="Накладное/встраиваемое"/>
    <x v="44"/>
    <n v="1.4760000000000001E-2"/>
    <x v="12"/>
    <x v="5"/>
    <s v="30 000 ч"/>
  </r>
  <r>
    <x v="1180"/>
    <x v="278"/>
    <x v="39"/>
    <n v="85"/>
    <s v="SB-00016316"/>
    <s v="Д, 120"/>
    <x v="4"/>
    <x v="4"/>
    <x v="2"/>
    <s v="≥0,95"/>
    <s v="Трион"/>
    <s v="I"/>
    <s v="Призматический полистирол**"/>
    <s v="&lt;1%"/>
    <x v="5"/>
    <s v="90+"/>
    <s v="Edison 0,5W 48шт"/>
    <s v="175mA"/>
    <x v="3"/>
    <s v="Гнутая листовая сталь с порошковой окраской"/>
    <s v="Накладное/встраиваемое в потолок армстронг"/>
    <x v="45"/>
    <n v="2.3064000000000001E-2"/>
    <x v="13"/>
    <x v="6"/>
    <s v="100 000 ч"/>
  </r>
  <r>
    <x v="1181"/>
    <x v="278"/>
    <x v="39"/>
    <n v="85"/>
    <s v="SB-00016317"/>
    <s v="Д, 120"/>
    <x v="4"/>
    <x v="3"/>
    <x v="2"/>
    <s v="&gt;0,95"/>
    <s v="Аргос"/>
    <s v="I"/>
    <s v="Матовый"/>
    <s v="&lt;1%"/>
    <x v="13"/>
    <s v="90+"/>
    <s v="Honglitronic 120шт"/>
    <s v="70мА"/>
    <x v="3"/>
    <s v="Литой алюминий, АБС-пластик"/>
    <s v="Встраиваемый в потолок из гипсокартона. Диаметр врезного отверстия 200мм."/>
    <x v="255"/>
    <n v="0.01"/>
    <x v="83"/>
    <x v="8"/>
    <s v="100 000 ч"/>
  </r>
  <r>
    <x v="1182"/>
    <x v="55"/>
    <x v="32"/>
    <n v="100"/>
    <s v="SB-00016319"/>
    <m/>
    <x v="6"/>
    <x v="1"/>
    <x v="3"/>
    <s v="&gt;0,95"/>
    <s v="Постоянно включена. Аварийный режим работы: 1 час, 50% яркости. "/>
    <s v="I"/>
    <s v="Матовый"/>
    <s v="&lt;1%"/>
    <x v="1"/>
    <n v="80"/>
    <s v="Samsung LM281B+ 26шт"/>
    <s v="60мА"/>
    <x v="3"/>
    <s v="Поликарбонат"/>
    <s v="Накладное (на потолок)"/>
    <x v="259"/>
    <n v="0.01"/>
    <x v="11"/>
    <x v="6"/>
    <s v="100 000 ч"/>
  </r>
  <r>
    <x v="1183"/>
    <x v="279"/>
    <x v="41"/>
    <n v="68"/>
    <s v="SB-00017550"/>
    <s v="Д, 120"/>
    <x v="5"/>
    <x v="2"/>
    <x v="2"/>
    <s v="≥0,95"/>
    <s v="Аргос (аварийный режим: 2 часа, 10% яркости)"/>
    <s v="I"/>
    <s v="Матовый"/>
    <s v="&lt;1%"/>
    <x v="2"/>
    <s v="90+"/>
    <s v="Samsung LM281B"/>
    <s v="117мА"/>
    <x v="1"/>
    <s v="Поликарбонат"/>
    <s v="Накладное/подвесное"/>
    <x v="52"/>
    <n v="5.4599999999999996E-3"/>
    <x v="16"/>
    <x v="6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184"/>
    <x v="280"/>
    <x v="5"/>
    <m/>
    <s v="SB-00008525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15"/>
    <m/>
    <s v="Lumileds шт FITO 84 шт"/>
    <s v="117мА"/>
    <x v="1"/>
    <s v="Литой экструдированный алюминиевый анодированный профиль"/>
    <s v="Поворотный кронштейн с хомутом на трубу до 50.8мм/подвес"/>
    <x v="54"/>
    <n v="5.3949999999999996E-3"/>
    <x v="16"/>
    <x v="2"/>
    <s v="100 000 ч"/>
  </r>
  <r>
    <x v="1185"/>
    <x v="281"/>
    <x v="6"/>
    <m/>
    <s v="SB-00008526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15"/>
    <m/>
    <s v="Lumileds шт FITO 132 шт"/>
    <s v="117мА"/>
    <x v="1"/>
    <s v="Литой экструдированный алюминиевый анодированный профиль"/>
    <s v="Поворотный кронштейн с хомутом на трубу до 50.8мм/подвес"/>
    <x v="260"/>
    <n v="5.3949999999999996E-3"/>
    <x v="19"/>
    <x v="2"/>
    <s v="100 000 ч"/>
  </r>
  <r>
    <x v="1186"/>
    <x v="282"/>
    <x v="7"/>
    <m/>
    <s v="SB-00008527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15"/>
    <m/>
    <s v="Lumileds шт FITO 168 шт"/>
    <s v="117мА"/>
    <x v="1"/>
    <s v="Литой экструдированный алюминиевый анодированный профиль"/>
    <s v="Поворотный кронштейн с хомутом на трубу до 50.8мм/подвес"/>
    <x v="261"/>
    <n v="5.3949999999999996E-3"/>
    <x v="19"/>
    <x v="2"/>
    <s v="100 000 ч"/>
  </r>
  <r>
    <x v="1187"/>
    <x v="283"/>
    <x v="9"/>
    <m/>
    <s v="SB-00007873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15"/>
    <m/>
    <s v="Lumileds шт FITO 264 шт"/>
    <s v="117мА"/>
    <x v="1"/>
    <s v="Литой экструдированный алюминиевый анодированный профиль"/>
    <s v="Поворотный кронштейн с хомутом на трубу до 50.8мм/подвес"/>
    <x v="262"/>
    <n v="7.6049999999999998E-3"/>
    <x v="36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188"/>
    <x v="284"/>
    <x v="112"/>
    <n v="143"/>
    <s v="SB-00019561"/>
    <s v="Д, 120"/>
    <x v="1"/>
    <x v="2"/>
    <x v="2"/>
    <s v="≥0,95"/>
    <s v="Аргос/Трион или иной по запросу"/>
    <s v="II"/>
    <s v="Стекло силикатное прозрачное"/>
    <s v="&lt;1%"/>
    <x v="2"/>
    <n v="80"/>
    <s v="2835, 20 шт"/>
    <s v="70мА"/>
    <x v="1"/>
    <s v="Литой экструдированный алюминиевый анодированный профиль"/>
    <s v="Поворотный кронштейн с хомутом на трубу до 50.8мм"/>
    <x v="263"/>
    <n v="0.1"/>
    <x v="84"/>
    <x v="2"/>
    <s v="100 000 ч"/>
  </r>
  <r>
    <x v="1189"/>
    <x v="285"/>
    <x v="94"/>
    <n v="122"/>
    <s v="SB-00019562"/>
    <s v="Д, 120"/>
    <x v="1"/>
    <x v="2"/>
    <x v="2"/>
    <s v="≥0,95"/>
    <s v="Аргос/Трион или иной по запросу"/>
    <s v="II"/>
    <s v="Стекло силикатное прозрачное"/>
    <s v="&lt;1%"/>
    <x v="2"/>
    <n v="80"/>
    <s v="2835, 20 шт"/>
    <s v="140мА"/>
    <x v="1"/>
    <s v="Литой экструдированный алюминиевый анодированный профиль"/>
    <s v="Поворотный кронштейн с хомутом на трубу до 50.8мм"/>
    <x v="263"/>
    <n v="0.1"/>
    <x v="84"/>
    <x v="2"/>
    <s v="100 000 ч"/>
  </r>
  <r>
    <x v="1190"/>
    <x v="286"/>
    <x v="33"/>
    <n v="80"/>
    <s v="SB-00014723"/>
    <s v="Д, 120"/>
    <x v="5"/>
    <x v="1"/>
    <x v="3"/>
    <n v="0.5"/>
    <s v="СВТ"/>
    <m/>
    <s v="Матовый"/>
    <s v="&lt;1%"/>
    <x v="4"/>
    <n v="80"/>
    <s v="SMD 2835"/>
    <m/>
    <x v="1"/>
    <s v="Полистирол"/>
    <s v="Накладной"/>
    <x v="264"/>
    <n v="5.4599999999999996E-3"/>
    <x v="85"/>
    <x v="2"/>
    <s v="30 000 ч"/>
  </r>
  <r>
    <x v="1191"/>
    <x v="286"/>
    <x v="33"/>
    <n v="80"/>
    <s v="SB-00014725"/>
    <s v="Д, 120"/>
    <x v="5"/>
    <x v="1"/>
    <x v="3"/>
    <n v="0.5"/>
    <s v="СВТ"/>
    <m/>
    <s v="Матовый"/>
    <s v="&lt;1%"/>
    <x v="4"/>
    <n v="80"/>
    <s v="SMD 2835"/>
    <m/>
    <x v="1"/>
    <s v="Полистирол"/>
    <s v="Накладной"/>
    <x v="264"/>
    <n v="5.4599999999999996E-3"/>
    <x v="85"/>
    <x v="2"/>
    <s v="30 000 ч"/>
  </r>
  <r>
    <x v="1192"/>
    <x v="192"/>
    <x v="95"/>
    <n v="100"/>
    <s v="SB-00004721"/>
    <s v="Д, 120"/>
    <x v="5"/>
    <x v="2"/>
    <x v="2"/>
    <n v="0.95"/>
    <s v="СВТ"/>
    <s v="I"/>
    <s v="Матовый"/>
    <s v="&lt;1%"/>
    <x v="1"/>
    <n v="80"/>
    <s v="Samsung х50шт"/>
    <m/>
    <x v="1"/>
    <s v="Алюминий с порошковой окраской"/>
    <s v="Накладной"/>
    <x v="265"/>
    <n v="3.48E-3"/>
    <x v="83"/>
    <x v="2"/>
    <s v="100 000 ч"/>
  </r>
  <r>
    <x v="1193"/>
    <x v="287"/>
    <x v="41"/>
    <n v="120"/>
    <s v="SB-00004724"/>
    <s v="Д, 120"/>
    <x v="5"/>
    <x v="2"/>
    <x v="2"/>
    <n v="0.95"/>
    <s v="СВТ"/>
    <s v="I"/>
    <s v="Матовый"/>
    <s v="&lt;1%"/>
    <x v="1"/>
    <n v="80"/>
    <s v="Samsung х30шт"/>
    <m/>
    <x v="1"/>
    <s v="Алюминий с порошковой окраской"/>
    <s v="Накладной"/>
    <x v="266"/>
    <n v="3.48E-3"/>
    <x v="18"/>
    <x v="2"/>
    <s v="100 000 ч"/>
  </r>
  <r>
    <x v="1194"/>
    <x v="288"/>
    <x v="57"/>
    <n v="120"/>
    <s v="SB-00004722"/>
    <s v="Д, 120"/>
    <x v="5"/>
    <x v="2"/>
    <x v="2"/>
    <n v="0.95"/>
    <s v="СВТ"/>
    <s v="I"/>
    <s v="Матовый"/>
    <s v="&lt;1%"/>
    <x v="1"/>
    <n v="80"/>
    <s v="Samsung х20шт"/>
    <m/>
    <x v="1"/>
    <s v="Алюминий с порошковой окраской"/>
    <s v="Накладной"/>
    <x v="267"/>
    <n v="3.48E-3"/>
    <x v="86"/>
    <x v="2"/>
    <s v="100 000 ч"/>
  </r>
  <r>
    <x v="1195"/>
    <x v="289"/>
    <x v="44"/>
    <n v="83"/>
    <s v="SB-00010511"/>
    <s v="Д, 120"/>
    <x v="3"/>
    <x v="2"/>
    <x v="3"/>
    <m/>
    <s v="СВТ"/>
    <s v="II"/>
    <s v="Матовый ПК"/>
    <n v="0.86"/>
    <x v="5"/>
    <n v="80"/>
    <s v="SMD 2835 х28шт"/>
    <m/>
    <x v="1"/>
    <s v="Полистирол"/>
    <s v="Накладной"/>
    <x v="268"/>
    <n v="5.4599999999999996E-3"/>
    <x v="87"/>
    <x v="2"/>
    <s v="50 000 ч"/>
  </r>
  <r>
    <x v="663"/>
    <x v="33"/>
    <x v="41"/>
    <n v="80"/>
    <s v="SB-00017549"/>
    <s v="Д, 120"/>
    <x v="5"/>
    <x v="2"/>
    <x v="2"/>
    <s v="≥0,95"/>
    <s v="Аргос"/>
    <s v="I"/>
    <s v="Матовый"/>
    <s v="&lt;1%"/>
    <x v="2"/>
    <n v="80"/>
    <s v="Samsung LM281B"/>
    <s v="117мА"/>
    <x v="1"/>
    <s v="Поликарбонат"/>
    <s v="Накладное/подвесное"/>
    <x v="52"/>
    <n v="5.4599999999999996E-3"/>
    <x v="16"/>
    <x v="2"/>
    <s v="100 000 ч"/>
  </r>
  <r>
    <x v="1196"/>
    <x v="52"/>
    <x v="59"/>
    <n v="150"/>
    <s v="SB-00017976"/>
    <s v="Д, 120"/>
    <x v="5"/>
    <x v="2"/>
    <x v="2"/>
    <s v="≥0,95"/>
    <s v="Аргос"/>
    <s v="I"/>
    <s v="Матовый"/>
    <s v="&lt;1%"/>
    <x v="5"/>
    <n v="80"/>
    <s v="Samsung"/>
    <m/>
    <x v="1"/>
    <s v="Литой экструдированный алюминиевый анодированный профиль"/>
    <s v="Накладной"/>
    <x v="269"/>
    <m/>
    <x v="14"/>
    <x v="2"/>
    <s v="100 000 ч"/>
  </r>
  <r>
    <x v="1197"/>
    <x v="52"/>
    <x v="59"/>
    <n v="150"/>
    <s v="SB-00018005"/>
    <s v="Д, 120"/>
    <x v="5"/>
    <x v="2"/>
    <x v="2"/>
    <s v="≥0,95"/>
    <s v="Аргос"/>
    <s v="I"/>
    <s v="Матовый"/>
    <s v="&lt;1%"/>
    <x v="5"/>
    <n v="80"/>
    <s v="Samsung"/>
    <m/>
    <x v="1"/>
    <s v="Литой экструдированный алюминиевый анодированный профиль"/>
    <s v="Накладной"/>
    <x v="270"/>
    <n v="5.0000000000000001E-3"/>
    <x v="5"/>
    <x v="2"/>
    <s v="10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198"/>
    <x v="290"/>
    <x v="113"/>
    <m/>
    <s v="SB-00007375"/>
    <s v="-"/>
    <x v="8"/>
    <x v="8"/>
    <x v="10"/>
    <s v="-"/>
    <s v="-"/>
    <s v="-"/>
    <s v="-"/>
    <s v="-"/>
    <x v="16"/>
    <s v="-"/>
    <s v="-"/>
    <s v="-"/>
    <x v="29"/>
    <s v="Стальной трос 1 мм в прозрачной оплетке _x000a_(два отрезка по 1200мм)"/>
    <s v="Алюминиевый зажим для троса 4мм (4 шт)"/>
    <x v="271"/>
    <s v="-"/>
    <x v="88"/>
    <x v="13"/>
    <s v="-"/>
  </r>
  <r>
    <x v="1199"/>
    <x v="290"/>
    <x v="113"/>
    <m/>
    <s v="SB-00007376"/>
    <s v="-"/>
    <x v="8"/>
    <x v="8"/>
    <x v="10"/>
    <s v="-"/>
    <s v="-"/>
    <s v="-"/>
    <s v="-"/>
    <s v="-"/>
    <x v="16"/>
    <s v="-"/>
    <s v="-"/>
    <s v="-"/>
    <x v="29"/>
    <s v="Стальной трос 1 мм в прозрачной оплетке _x000a_(два отрезка по 2200мм)"/>
    <s v="Алюминиевый зажим для троса 4мм (4 шт)"/>
    <x v="271"/>
    <s v="-"/>
    <x v="88"/>
    <x v="13"/>
    <s v="-"/>
  </r>
  <r>
    <x v="1200"/>
    <x v="290"/>
    <x v="113"/>
    <m/>
    <s v="SB-00007378"/>
    <s v="-"/>
    <x v="8"/>
    <x v="8"/>
    <x v="10"/>
    <s v="-"/>
    <s v="-"/>
    <s v="-"/>
    <s v="-"/>
    <s v="-"/>
    <x v="16"/>
    <s v="-"/>
    <s v="-"/>
    <s v="-"/>
    <x v="29"/>
    <s v="Стальной трос 1 мм в прозрачной оплетке _x000a_(два отрезка по 3200мм)"/>
    <s v="Алюминиевый зажим для троса 4мм (4 шт)"/>
    <x v="271"/>
    <s v="-"/>
    <x v="88"/>
    <x v="13"/>
    <s v="-"/>
  </r>
  <r>
    <x v="1201"/>
    <x v="290"/>
    <x v="113"/>
    <m/>
    <s v="SB-00007379"/>
    <s v="-"/>
    <x v="8"/>
    <x v="8"/>
    <x v="10"/>
    <s v="-"/>
    <s v="-"/>
    <s v="-"/>
    <s v="-"/>
    <s v="-"/>
    <x v="16"/>
    <s v="-"/>
    <s v="-"/>
    <s v="-"/>
    <x v="29"/>
    <s v="Стальной трос 1 мм в прозрачной оплетке _x000a_(два отрезка по 4200мм)"/>
    <s v="Алюминиевый зажим для троса 4мм (4 шт)"/>
    <x v="271"/>
    <s v="-"/>
    <x v="88"/>
    <x v="13"/>
    <s v="-"/>
  </r>
  <r>
    <x v="1202"/>
    <x v="290"/>
    <x v="113"/>
    <m/>
    <s v="SB-00005725"/>
    <s v="-"/>
    <x v="8"/>
    <x v="8"/>
    <x v="10"/>
    <s v="-"/>
    <s v="-"/>
    <s v="-"/>
    <s v="-"/>
    <s v="-"/>
    <x v="16"/>
    <s v="-"/>
    <s v="-"/>
    <s v="-"/>
    <x v="29"/>
    <s v="Сталь"/>
    <s v="Поворотный кронштейн с хомутом на трубу до 50.8мм"/>
    <x v="271"/>
    <m/>
    <x v="88"/>
    <x v="13"/>
    <s v="-"/>
  </r>
  <r>
    <x v="1203"/>
    <x v="290"/>
    <x v="113"/>
    <m/>
    <s v="SB-00005958"/>
    <s v="-"/>
    <x v="8"/>
    <x v="8"/>
    <x v="10"/>
    <s v="-"/>
    <s v="-"/>
    <s v="-"/>
    <s v="-"/>
    <s v="-"/>
    <x v="16"/>
    <s v="-"/>
    <s v="-"/>
    <s v="-"/>
    <x v="29"/>
    <s v="Сталь"/>
    <s v="Крепеж для V-образного соединения светильников Модуль с универсальным поворотным кронштейном и хомутом на трубу до 50.8мм"/>
    <x v="271"/>
    <m/>
    <x v="88"/>
    <x v="13"/>
    <s v="-"/>
  </r>
  <r>
    <x v="1204"/>
    <x v="290"/>
    <x v="113"/>
    <m/>
    <s v="SB-00005953"/>
    <s v="-"/>
    <x v="8"/>
    <x v="8"/>
    <x v="10"/>
    <s v="-"/>
    <s v="-"/>
    <s v="-"/>
    <s v="-"/>
    <s v="-"/>
    <x v="16"/>
    <s v="-"/>
    <s v="-"/>
    <s v="-"/>
    <x v="29"/>
    <s v="Алюминий"/>
    <s v="Консоль на трубу до 55мм"/>
    <x v="271"/>
    <m/>
    <x v="88"/>
    <x v="13"/>
    <s v="-"/>
  </r>
  <r>
    <x v="1205"/>
    <x v="290"/>
    <x v="113"/>
    <m/>
    <s v="SB-00006741"/>
    <s v="-"/>
    <x v="8"/>
    <x v="8"/>
    <x v="10"/>
    <s v="-"/>
    <s v="-"/>
    <s v="-"/>
    <s v="-"/>
    <s v="-"/>
    <x v="16"/>
    <s v="-"/>
    <s v="-"/>
    <s v="-"/>
    <x v="29"/>
    <s v="Алюминий"/>
    <s v="Консоль на трубу до 55мм_x000a_два кабельных ввода"/>
    <x v="271"/>
    <m/>
    <x v="88"/>
    <x v="13"/>
    <s v="-"/>
  </r>
  <r>
    <x v="1206"/>
    <x v="290"/>
    <x v="113"/>
    <m/>
    <s v="SB-00005954"/>
    <s v="-"/>
    <x v="8"/>
    <x v="8"/>
    <x v="10"/>
    <s v="-"/>
    <s v="-"/>
    <s v="-"/>
    <s v="-"/>
    <s v="-"/>
    <x v="16"/>
    <s v="-"/>
    <s v="-"/>
    <s v="-"/>
    <x v="29"/>
    <s v="Сталь"/>
    <s v="Поворотный кронштейн с хомутом на трубу до 50.8мм"/>
    <x v="271"/>
    <m/>
    <x v="88"/>
    <x v="13"/>
    <s v="-"/>
  </r>
  <r>
    <x v="1207"/>
    <x v="290"/>
    <x v="113"/>
    <m/>
    <s v="SB-00005955"/>
    <s v="-"/>
    <x v="8"/>
    <x v="8"/>
    <x v="10"/>
    <s v="-"/>
    <s v="-"/>
    <s v="-"/>
    <s v="-"/>
    <s v="-"/>
    <x v="16"/>
    <s v="-"/>
    <s v="-"/>
    <s v="-"/>
    <x v="29"/>
    <s v="Алюминий+сталь"/>
    <s v="Консоль на трубу до 55мм"/>
    <x v="271"/>
    <m/>
    <x v="88"/>
    <x v="13"/>
    <s v="-"/>
  </r>
  <r>
    <x v="1208"/>
    <x v="290"/>
    <x v="113"/>
    <m/>
    <s v="SB-00005956"/>
    <s v="-"/>
    <x v="8"/>
    <x v="8"/>
    <x v="10"/>
    <s v="-"/>
    <s v="-"/>
    <s v="-"/>
    <s v="-"/>
    <s v="-"/>
    <x v="16"/>
    <s v="-"/>
    <s v="-"/>
    <s v="-"/>
    <x v="29"/>
    <s v="Сталь"/>
    <s v="Поворотный кронштейн с хомутом на трубу до 50.8мм"/>
    <x v="271"/>
    <m/>
    <x v="88"/>
    <x v="13"/>
    <s v="-"/>
  </r>
  <r>
    <x v="1209"/>
    <x v="290"/>
    <x v="113"/>
    <m/>
    <s v="SB-00005957"/>
    <s v="-"/>
    <x v="8"/>
    <x v="8"/>
    <x v="10"/>
    <s v="-"/>
    <s v="-"/>
    <s v="-"/>
    <s v="-"/>
    <s v="-"/>
    <x v="16"/>
    <s v="-"/>
    <s v="-"/>
    <s v="-"/>
    <x v="29"/>
    <s v="Алюминий+сталь"/>
    <s v="Консоль на трубу до 55мм"/>
    <x v="271"/>
    <m/>
    <x v="88"/>
    <x v="13"/>
    <s v="-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210"/>
    <x v="49"/>
    <x v="114"/>
    <n v="155"/>
    <s v="SB-00017227"/>
    <s v="Д, 120"/>
    <x v="1"/>
    <x v="3"/>
    <x v="2"/>
    <s v="≥0,95"/>
    <s v="Аргос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Поворотный кронштейн с хомутом на трубу до 50.8мм"/>
    <x v="150"/>
    <n v="0.1"/>
    <x v="19"/>
    <x v="4"/>
    <s v="100 000 ч"/>
  </r>
  <r>
    <x v="1211"/>
    <x v="49"/>
    <x v="114"/>
    <n v="155"/>
    <s v="SB-00017253"/>
    <s v="Д, 120"/>
    <x v="1"/>
    <x v="3"/>
    <x v="2"/>
    <s v="≥0,95"/>
    <s v="Аргос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Поворотный кронштейн с хомутом на трубу до 50.8мм"/>
    <x v="150"/>
    <n v="0.1"/>
    <x v="19"/>
    <x v="4"/>
    <s v="100 000 ч"/>
  </r>
  <r>
    <x v="1212"/>
    <x v="49"/>
    <x v="114"/>
    <n v="155"/>
    <s v="SB-00017228"/>
    <s v="Д, 120"/>
    <x v="1"/>
    <x v="3"/>
    <x v="2"/>
    <s v="≥0,95"/>
    <s v="Аргос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Консоль на трубу до 55мм"/>
    <x v="155"/>
    <n v="0.1"/>
    <x v="19"/>
    <x v="4"/>
    <s v="100 000 ч"/>
  </r>
  <r>
    <x v="1213"/>
    <x v="49"/>
    <x v="114"/>
    <n v="155"/>
    <s v="SB-00017254"/>
    <s v="Д, 120"/>
    <x v="1"/>
    <x v="3"/>
    <x v="2"/>
    <s v="≥0,95"/>
    <s v="Аргос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Консоль на трубу до 55мм"/>
    <x v="155"/>
    <n v="0.1"/>
    <x v="19"/>
    <x v="4"/>
    <s v="100 000 ч"/>
  </r>
  <r>
    <x v="1214"/>
    <x v="50"/>
    <x v="115"/>
    <n v="155"/>
    <s v="SB-00017255"/>
    <s v="Д, 120"/>
    <x v="1"/>
    <x v="3"/>
    <x v="2"/>
    <s v="≥0,95"/>
    <s v="Аргос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Поворотный кронштейн с хомутом на трубу до 50.8мм"/>
    <x v="168"/>
    <n v="1.176E-2"/>
    <x v="5"/>
    <x v="4"/>
    <s v="100 000 ч"/>
  </r>
  <r>
    <x v="1215"/>
    <x v="50"/>
    <x v="115"/>
    <n v="155"/>
    <s v="SB-00017256"/>
    <s v="Д, 120"/>
    <x v="1"/>
    <x v="3"/>
    <x v="2"/>
    <s v="≥0,95"/>
    <s v="Аргос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Консоль на трубу до 55мм"/>
    <x v="169"/>
    <n v="1.176E-2"/>
    <x v="5"/>
    <x v="4"/>
    <s v="100 000 ч"/>
  </r>
  <r>
    <x v="1216"/>
    <x v="50"/>
    <x v="115"/>
    <n v="155"/>
    <s v="SB-00017257"/>
    <s v="Л, 140"/>
    <x v="1"/>
    <x v="3"/>
    <x v="2"/>
    <s v="≥0,95"/>
    <s v="Аргос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Поворотный кронштейн с хомутом на трубу до 50.8мм"/>
    <x v="170"/>
    <n v="1.176E-2"/>
    <x v="5"/>
    <x v="4"/>
    <s v="100 000 ч"/>
  </r>
  <r>
    <x v="1217"/>
    <x v="50"/>
    <x v="115"/>
    <n v="155"/>
    <s v="SB-00017258"/>
    <s v="Л, 140"/>
    <x v="1"/>
    <x v="3"/>
    <x v="2"/>
    <s v="≥0,95"/>
    <s v="Аргос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Консоль на трубу до 55мм"/>
    <x v="171"/>
    <n v="1.176E-2"/>
    <x v="5"/>
    <x v="4"/>
    <s v="100 000 ч"/>
  </r>
  <r>
    <x v="1218"/>
    <x v="202"/>
    <x v="116"/>
    <n v="155"/>
    <s v="SB-00017259"/>
    <s v="Д, 120"/>
    <x v="1"/>
    <x v="3"/>
    <x v="2"/>
    <s v="≥0,95"/>
    <s v="Аргос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Поворотный кронштейн с хомутом на трубу до 50.8мм"/>
    <x v="172"/>
    <n v="1.554E-2"/>
    <x v="60"/>
    <x v="4"/>
    <s v="100 000 ч"/>
  </r>
  <r>
    <x v="1219"/>
    <x v="202"/>
    <x v="116"/>
    <n v="155"/>
    <s v="SB-00017261"/>
    <s v="Д, 120"/>
    <x v="1"/>
    <x v="3"/>
    <x v="2"/>
    <s v="≥0,95"/>
    <s v="Аргос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Консоль на трубу до 55мм"/>
    <x v="173"/>
    <n v="1.554E-2"/>
    <x v="60"/>
    <x v="4"/>
    <s v="100 000 ч"/>
  </r>
  <r>
    <x v="1220"/>
    <x v="202"/>
    <x v="116"/>
    <n v="155"/>
    <s v="SB-00017262"/>
    <s v="Л, 140"/>
    <x v="1"/>
    <x v="3"/>
    <x v="2"/>
    <s v="≥0,95"/>
    <s v="Аргос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Поворотный кронштейн с хомутом на трубу до 50.8мм"/>
    <x v="174"/>
    <n v="1.554E-2"/>
    <x v="60"/>
    <x v="4"/>
    <s v="100 000 ч"/>
  </r>
  <r>
    <x v="1221"/>
    <x v="202"/>
    <x v="116"/>
    <n v="155"/>
    <s v="SB-00017263"/>
    <s v="Л, 140"/>
    <x v="1"/>
    <x v="3"/>
    <x v="2"/>
    <s v="≥0,95"/>
    <s v="Аргос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Консоль на трубу до 55мм"/>
    <x v="175"/>
    <n v="1.554E-2"/>
    <x v="60"/>
    <x v="4"/>
    <s v="100 000 ч"/>
  </r>
  <r>
    <x v="1222"/>
    <x v="50"/>
    <x v="115"/>
    <n v="155"/>
    <s v="SB-00017264"/>
    <s v="Д, 120"/>
    <x v="1"/>
    <x v="3"/>
    <x v="2"/>
    <s v="≥0,95"/>
    <s v="Аргос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Поворотная лира (опц. хомут на трубу до 50.8мм)"/>
    <x v="183"/>
    <n v="1.176E-2"/>
    <x v="5"/>
    <x v="4"/>
    <s v="100 000 ч"/>
  </r>
  <r>
    <x v="1223"/>
    <x v="50"/>
    <x v="115"/>
    <n v="155"/>
    <s v="SB-00017266"/>
    <s v="Д, 120"/>
    <x v="1"/>
    <x v="3"/>
    <x v="2"/>
    <s v="≥0,95"/>
    <s v="Аргос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Консоль на трубу до 55мм"/>
    <x v="169"/>
    <n v="1.176E-2"/>
    <x v="5"/>
    <x v="4"/>
    <s v="100 000 ч"/>
  </r>
  <r>
    <x v="1224"/>
    <x v="50"/>
    <x v="115"/>
    <n v="155"/>
    <s v="SB-00017267"/>
    <s v="Л, 140"/>
    <x v="1"/>
    <x v="3"/>
    <x v="2"/>
    <s v="≥0,95"/>
    <s v="Аргос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Поворотный кронштейн с хомутом на трубу до 50.8мм"/>
    <x v="170"/>
    <n v="1.176E-2"/>
    <x v="5"/>
    <x v="4"/>
    <s v="100 000 ч"/>
  </r>
  <r>
    <x v="1225"/>
    <x v="50"/>
    <x v="115"/>
    <n v="155"/>
    <s v="SB-00017268"/>
    <s v="Л, 140"/>
    <x v="1"/>
    <x v="3"/>
    <x v="2"/>
    <s v="≥0,95"/>
    <s v="Аргос"/>
    <s v="II"/>
    <s v="Стекло силикатное прозрачное"/>
    <s v="&lt;1%"/>
    <x v="2"/>
    <n v="80"/>
    <s v="Samsung LM281B+ 264шт"/>
    <s v="117мА"/>
    <x v="2"/>
    <s v="Литой экструдированный алюминиевый анодированный профиль"/>
    <s v="Консоль на трубу до 55мм"/>
    <x v="171"/>
    <n v="1.176E-2"/>
    <x v="5"/>
    <x v="4"/>
    <s v="100 000 ч"/>
  </r>
  <r>
    <x v="1226"/>
    <x v="202"/>
    <x v="116"/>
    <n v="155"/>
    <s v="SB-00017269"/>
    <s v="Д, 120"/>
    <x v="1"/>
    <x v="3"/>
    <x v="2"/>
    <s v="≥0,95"/>
    <s v="Аргос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Поворотный кронштейн с хомутом на трубу до 50.8мм"/>
    <x v="184"/>
    <n v="1.554E-2"/>
    <x v="60"/>
    <x v="4"/>
    <s v="100 000 ч"/>
  </r>
  <r>
    <x v="1227"/>
    <x v="202"/>
    <x v="116"/>
    <n v="155"/>
    <s v="SB-00017270"/>
    <s v="Д, 120"/>
    <x v="1"/>
    <x v="3"/>
    <x v="2"/>
    <s v="≥0,95"/>
    <s v="Аргос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Консоль на трубу до 55мм"/>
    <x v="173"/>
    <n v="1.554E-2"/>
    <x v="60"/>
    <x v="4"/>
    <s v="100 000 ч"/>
  </r>
  <r>
    <x v="1228"/>
    <x v="202"/>
    <x v="116"/>
    <n v="155"/>
    <s v="SB-00017271"/>
    <s v="Л, 140"/>
    <x v="1"/>
    <x v="3"/>
    <x v="2"/>
    <s v="≥0,95"/>
    <s v="Аргос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Поворотный кронштейн с хомутом на трубу до 50.8мм"/>
    <x v="174"/>
    <n v="1.554E-2"/>
    <x v="60"/>
    <x v="4"/>
    <s v="100 000 ч"/>
  </r>
  <r>
    <x v="1229"/>
    <x v="202"/>
    <x v="116"/>
    <n v="155"/>
    <s v="SB-00017272"/>
    <s v="Л, 140"/>
    <x v="1"/>
    <x v="3"/>
    <x v="2"/>
    <s v="≥0,95"/>
    <s v="Аргос"/>
    <s v="II"/>
    <s v="Стекло силикатное прозрачное"/>
    <s v="&lt;1%"/>
    <x v="2"/>
    <n v="80"/>
    <s v="Samsung LM281B+ 396шт"/>
    <s v="117мА"/>
    <x v="2"/>
    <s v="Литой экструдированный алюминиевый анодированный профиль"/>
    <s v="Консоль на трубу до 55мм"/>
    <x v="175"/>
    <n v="1.554E-2"/>
    <x v="60"/>
    <x v="4"/>
    <s v="100 000 ч"/>
  </r>
  <r>
    <x v="1230"/>
    <x v="291"/>
    <x v="71"/>
    <n v="138"/>
    <s v="SB-00013966"/>
    <s v="ШБ, 45x140"/>
    <x v="1"/>
    <x v="2"/>
    <x v="2"/>
    <s v="≥0,95"/>
    <s v="Аргос/Трион с защитой от 380В или иной по запросу"/>
    <s v="II"/>
    <s v="ПММА LEDiL "/>
    <s v="&lt;1%"/>
    <x v="2"/>
    <n v="70"/>
    <s v="Osram Duris S8 12шт"/>
    <s v="525мА"/>
    <x v="1"/>
    <s v="Литой экструдированный алюминиевый анодированный профиль"/>
    <s v="Поворотный кронштейн"/>
    <x v="272"/>
    <n v="0.01"/>
    <x v="5"/>
    <x v="2"/>
    <s v="60 000 ч"/>
  </r>
  <r>
    <x v="1231"/>
    <x v="292"/>
    <x v="53"/>
    <n v="158"/>
    <s v="SB-00013533"/>
    <s v="ШБ, 45x140"/>
    <x v="1"/>
    <x v="3"/>
    <x v="2"/>
    <s v="≥0,95"/>
    <s v="MeanWell"/>
    <s v="I"/>
    <s v="ПММА LEDiL "/>
    <s v="&lt;1%"/>
    <x v="2"/>
    <n v="70"/>
    <s v="Osram Duris S8 48шт"/>
    <s v="400мА"/>
    <x v="1"/>
    <s v="Формованный алюминий"/>
    <s v="Консольное на трубу 48мм"/>
    <x v="273"/>
    <n v="1.6951999999999998E-2"/>
    <x v="6"/>
    <x v="2"/>
    <s v="100 000 ч"/>
  </r>
  <r>
    <x v="1232"/>
    <x v="196"/>
    <x v="9"/>
    <n v="148"/>
    <m/>
    <s v="Д, 120"/>
    <x v="1"/>
    <x v="9"/>
    <x v="2"/>
    <s v="≥0,95"/>
    <s v="MeanWell + БАП (1ч, 5%)"/>
    <s v="I"/>
    <s v="Стекло силикатное прозрачное"/>
    <s v="&lt;5%"/>
    <x v="2"/>
    <n v="80"/>
    <s v="Samsung LM281B+ 264 шт"/>
    <s v="117мА"/>
    <x v="1"/>
    <s v="Литой экструдированный алюминиевый анодированный профиль"/>
    <s v="Поворотный кронштейн с хомутом на трубу до 50.8мм"/>
    <x v="153"/>
    <n v="7.6049999999999998E-3"/>
    <x v="36"/>
    <x v="14"/>
    <s v="100 000 ч"/>
  </r>
  <r>
    <x v="1233"/>
    <x v="196"/>
    <x v="9"/>
    <n v="148"/>
    <m/>
    <s v="Д, 120"/>
    <x v="1"/>
    <x v="9"/>
    <x v="2"/>
    <s v="≥0,95"/>
    <s v="Аргос/Трион (с защитой от 380В и грозозащитой) + БАП (2ч, 5%)"/>
    <s v="I"/>
    <s v="Стекло силикатное прозрачное"/>
    <s v="&lt;1%"/>
    <x v="2"/>
    <n v="80"/>
    <s v="Samsung LM281B+ 264 шт"/>
    <s v="117мА"/>
    <x v="1"/>
    <s v="Литой экструдированный алюминиевый анодированный профиль"/>
    <s v="Поворотный кронштейн с хомутом на трубу до 50.8мм"/>
    <x v="153"/>
    <n v="7.6049999999999998E-3"/>
    <x v="36"/>
    <x v="14"/>
    <s v="100 000 ч"/>
  </r>
  <r>
    <x v="1234"/>
    <x v="293"/>
    <x v="117"/>
    <n v="150"/>
    <m/>
    <s v="Г, 65"/>
    <x v="1"/>
    <x v="2"/>
    <x v="2"/>
    <s v="≥0,95"/>
    <s v="Аргос (с защитой от 380В и грозозащитой)"/>
    <s v="I"/>
    <s v="ПММА LEDiL "/>
    <s v="&lt;1%"/>
    <x v="2"/>
    <n v="70"/>
    <s v="Osram Duris S8 384шт"/>
    <s v="525мА"/>
    <x v="1"/>
    <s v="Литой экструдированный алюминиевый анодированный профиль"/>
    <s v="Поворотная лира"/>
    <x v="274"/>
    <n v="0.01"/>
    <x v="89"/>
    <x v="2"/>
    <s v="60 000 ч"/>
  </r>
  <r>
    <x v="1235"/>
    <x v="294"/>
    <x v="118"/>
    <n v="170"/>
    <m/>
    <s v="Г, 60"/>
    <x v="1"/>
    <x v="3"/>
    <x v="1"/>
    <s v="≥0,95"/>
    <s v="MeanWell"/>
    <s v="I"/>
    <s v="ПММА LEDiL "/>
    <s v="&lt;1%"/>
    <x v="2"/>
    <n v="70"/>
    <s v="Osram Duris S8 1120шт"/>
    <s v="175 мА"/>
    <x v="1"/>
    <s v="Литой экструдированный алюминиевый анодированный профиль"/>
    <s v="Поворотная лира"/>
    <x v="275"/>
    <n v="0.01"/>
    <x v="90"/>
    <x v="2"/>
    <s v="100 000 ч"/>
  </r>
  <r>
    <x v="1236"/>
    <x v="8"/>
    <x v="8"/>
    <n v="155"/>
    <m/>
    <s v="Д, 120"/>
    <x v="1"/>
    <x v="3"/>
    <x v="2"/>
    <s v="≥0,95"/>
    <s v="Аргос/Трион (с защитой от 380В и грозозащитой), управлением по 0-10В/ШИМ"/>
    <s v="I"/>
    <s v="Стекло силикатное прозрачное"/>
    <s v="&lt;1%"/>
    <x v="2"/>
    <n v="80"/>
    <s v="Samsung LM281B+ 216 шт"/>
    <s v="117мА"/>
    <x v="1"/>
    <s v="Литой экструдированный алюминиевый анодированный профиль"/>
    <s v="Поворотный кронштейн с хомутом на трубу до 50.8мм"/>
    <x v="276"/>
    <n v="7.6049999999999998E-3"/>
    <x v="38"/>
    <x v="2"/>
    <s v="100 000 ч"/>
  </r>
  <r>
    <x v="1237"/>
    <x v="60"/>
    <x v="19"/>
    <n v="129"/>
    <m/>
    <s v="Д, 120"/>
    <x v="4"/>
    <x v="2"/>
    <x v="2"/>
    <s v="&gt;0,95"/>
    <s v="Трион, 2 часа, 10% "/>
    <s v="I"/>
    <s v="Матовый рассеиватель"/>
    <s v="&lt;1%"/>
    <x v="2"/>
    <n v="80"/>
    <s v="Samsung LM281B+RK 72 шт"/>
    <s v="117мА"/>
    <x v="1"/>
    <s v="Формованная листовая сталь с порошковой окраской"/>
    <s v="Накладное/встраиваемое в потолок армстронг"/>
    <x v="45"/>
    <n v="2.3064000000000001E-2"/>
    <x v="13"/>
    <x v="8"/>
    <s v="100 000 ч"/>
  </r>
  <r>
    <x v="1238"/>
    <x v="253"/>
    <x v="41"/>
    <n v="150"/>
    <m/>
    <s v="К, 15"/>
    <x v="5"/>
    <x v="3"/>
    <x v="2"/>
    <s v="&gt;0,95"/>
    <s v="Аргос"/>
    <s v="I"/>
    <s v="ПК Turlens"/>
    <s v="&lt;1%"/>
    <x v="2"/>
    <n v="70"/>
    <s v="Samsung LH351B 48шт"/>
    <s v="175mA"/>
    <x v="1"/>
    <s v="Литой экструдированный алюминиевый анодированный профиль"/>
    <s v="Поворотный кронштейн 2шт."/>
    <x v="277"/>
    <n v="1.7420000000000001E-2"/>
    <x v="22"/>
    <x v="2"/>
    <s v="100 000 ч"/>
  </r>
  <r>
    <x v="1239"/>
    <x v="250"/>
    <x v="95"/>
    <n v="53"/>
    <m/>
    <s v="Г, 58"/>
    <x v="1"/>
    <x v="3"/>
    <x v="11"/>
    <m/>
    <s v="DMX декодер"/>
    <s v="I"/>
    <s v="ПММА LEDiL "/>
    <s v="&lt;5%"/>
    <x v="7"/>
    <s v="-"/>
    <s v="ProLight"/>
    <s v="600мА"/>
    <x v="1"/>
    <s v="Экструдированный анодированный алюминиевый профиль"/>
    <s v="Поворотный кронштейн с хомутом на трубу до 50.8мм"/>
    <x v="92"/>
    <n v="0.01"/>
    <x v="12"/>
    <x v="2"/>
    <s v="100 000 ч"/>
  </r>
  <r>
    <x v="1240"/>
    <x v="295"/>
    <x v="69"/>
    <n v="140"/>
    <m/>
    <s v="Г, 60"/>
    <x v="1"/>
    <x v="3"/>
    <x v="1"/>
    <s v="≥0,95"/>
    <s v="MeanWell"/>
    <s v="I"/>
    <s v="Боросиликатная линза с антибликовой насечкой"/>
    <s v="&lt;5%"/>
    <x v="2"/>
    <n v="70"/>
    <s v="Samsung COB G2 6 шт"/>
    <s v="1050мА"/>
    <x v="1"/>
    <s v="Литой экструдированный алюминиевый анодированный профиль"/>
    <s v="Поворотный кронштейн"/>
    <x v="127"/>
    <n v="0.03"/>
    <x v="91"/>
    <x v="2"/>
    <s v="100 000 ч"/>
  </r>
  <r>
    <x v="1241"/>
    <x v="181"/>
    <x v="35"/>
    <n v="116.11111111111111"/>
    <m/>
    <s v="Д, 120"/>
    <x v="3"/>
    <x v="3"/>
    <x v="2"/>
    <s v="≥0,95"/>
    <s v="Luxdator"/>
    <s v="II"/>
    <s v="Матовый полистирол"/>
    <s v="&lt;1%"/>
    <x v="13"/>
    <n v="80"/>
    <s v="Samsung"/>
    <s v="175мА"/>
    <x v="3"/>
    <s v="Полистирол"/>
    <s v="Накладное/встраиваемое"/>
    <x v="43"/>
    <m/>
    <x v="12"/>
    <x v="5"/>
    <s v="60 000 ч"/>
  </r>
  <r>
    <x v="1242"/>
    <x v="181"/>
    <x v="35"/>
    <n v="116.11111111111111"/>
    <m/>
    <s v="Д, 120"/>
    <x v="3"/>
    <x v="3"/>
    <x v="2"/>
    <s v="≥0,95"/>
    <s v="Luxdator"/>
    <s v="II"/>
    <s v="Матовый полистирол"/>
    <s v="&lt;1%"/>
    <x v="13"/>
    <n v="80"/>
    <s v="Samsung"/>
    <s v="175мА"/>
    <x v="3"/>
    <s v="Полистирол"/>
    <s v="Накладное/встраиваемое"/>
    <x v="43"/>
    <m/>
    <x v="12"/>
    <x v="5"/>
    <s v="60 000 ч"/>
  </r>
  <r>
    <x v="1243"/>
    <x v="181"/>
    <x v="35"/>
    <n v="116"/>
    <m/>
    <s v="Д, 120"/>
    <x v="5"/>
    <x v="3"/>
    <x v="2"/>
    <s v="≥0,95"/>
    <s v="Luxdator"/>
    <s v="I"/>
    <s v="Матовый"/>
    <s v="&lt;1%"/>
    <x v="13"/>
    <n v="80"/>
    <s v="Lumileds"/>
    <s v="175mA"/>
    <x v="1"/>
    <s v="Пластиковый корпус из ABS. Рассеиватель из полимерного пластика SAN."/>
    <s v="Накалдное на специальные скобы"/>
    <x v="144"/>
    <m/>
    <x v="22"/>
    <x v="2"/>
    <s v="100 000 ч"/>
  </r>
  <r>
    <x v="1244"/>
    <x v="181"/>
    <x v="35"/>
    <n v="116"/>
    <m/>
    <s v="Д, 120"/>
    <x v="5"/>
    <x v="3"/>
    <x v="2"/>
    <s v="≥0,95"/>
    <s v="Luxdator"/>
    <s v="I"/>
    <s v="Матовый"/>
    <s v="&lt;1%"/>
    <x v="13"/>
    <n v="80"/>
    <s v="Lumileds"/>
    <s v="175mA"/>
    <x v="1"/>
    <s v="Пластиковый корпус из ABS. Рассеиватель из полимерного пластика SAN."/>
    <s v="Накалдное на специальные скобы"/>
    <x v="278"/>
    <m/>
    <x v="22"/>
    <x v="2"/>
    <s v="100 000 ч"/>
  </r>
  <r>
    <x v="1245"/>
    <x v="296"/>
    <x v="57"/>
    <n v="100"/>
    <m/>
    <s v="Д, 120"/>
    <x v="4"/>
    <x v="2"/>
    <x v="2"/>
    <s v="≥0,95"/>
    <s v="Аргос"/>
    <s v="I"/>
    <s v="Матовый"/>
    <s v="&lt;1%"/>
    <x v="13"/>
    <n v="80"/>
    <m/>
    <m/>
    <x v="3"/>
    <s v="Литой алюминий, АБС-пластик"/>
    <s v="Встраиваемый в потолок из гипсокартона. Монтажное отверстие 90мм"/>
    <x v="278"/>
    <m/>
    <x v="0"/>
    <x v="2"/>
    <s v="100 000 ч"/>
  </r>
  <r>
    <x v="1246"/>
    <x v="296"/>
    <x v="57"/>
    <n v="100"/>
    <m/>
    <s v="Д, 120"/>
    <x v="4"/>
    <x v="2"/>
    <x v="2"/>
    <s v="≥0,95"/>
    <s v="Аргос"/>
    <s v="I"/>
    <s v="Матовый"/>
    <s v="&lt;1%"/>
    <x v="13"/>
    <n v="80"/>
    <m/>
    <m/>
    <x v="3"/>
    <s v="Литой алюминий, АБС-пластик"/>
    <s v="Встраиваемый в потолок из гипсокартона. Монтажное отверстие 90мм"/>
    <x v="278"/>
    <m/>
    <x v="0"/>
    <x v="2"/>
    <s v="100 000 ч"/>
  </r>
  <r>
    <x v="1247"/>
    <x v="297"/>
    <x v="86"/>
    <n v="134"/>
    <m/>
    <s v="Д, 120"/>
    <x v="4"/>
    <x v="2"/>
    <x v="2"/>
    <s v="≥0,95"/>
    <s v="Аргос"/>
    <s v="I"/>
    <s v="Матовый"/>
    <s v="&lt;1%"/>
    <x v="13"/>
    <n v="80"/>
    <s v="Samsung LM281B+ 75шт"/>
    <s v="140mA"/>
    <x v="1"/>
    <s v="Литой экструдированный алюминиевый анодированный профиль"/>
    <s v="Подвес"/>
    <x v="279"/>
    <m/>
    <x v="38"/>
    <x v="8"/>
    <s v="100 000 ч"/>
  </r>
  <r>
    <x v="1248"/>
    <x v="297"/>
    <x v="86"/>
    <n v="134"/>
    <m/>
    <s v="Д, 120"/>
    <x v="4"/>
    <x v="2"/>
    <x v="2"/>
    <s v="≥0,95"/>
    <s v="Аргос"/>
    <s v="I"/>
    <s v="Матовый"/>
    <s v="&lt;1%"/>
    <x v="13"/>
    <n v="80"/>
    <s v="Samsung LM281B+ 75шт"/>
    <s v="140mA"/>
    <x v="1"/>
    <s v="Литой экструдированный алюминиевый анодированный профиль"/>
    <s v="Подвес"/>
    <x v="279"/>
    <m/>
    <x v="38"/>
    <x v="8"/>
    <s v="100 000 ч"/>
  </r>
  <r>
    <x v="1249"/>
    <x v="181"/>
    <x v="35"/>
    <n v="116"/>
    <m/>
    <s v="Д, 120"/>
    <x v="3"/>
    <x v="2"/>
    <x v="2"/>
    <s v="&gt;0,95"/>
    <s v="Luxdator"/>
    <s v="II"/>
    <s v="Матовый"/>
    <s v="&lt;1%"/>
    <x v="13"/>
    <n v="80"/>
    <s v="Everlight 0,5W 72шт"/>
    <s v="117мА"/>
    <x v="3"/>
    <s v="Полистирол"/>
    <s v="Накладное/встраиваемое"/>
    <x v="44"/>
    <m/>
    <x v="12"/>
    <x v="5"/>
    <s v="30 000 ч"/>
  </r>
  <r>
    <x v="1250"/>
    <x v="181"/>
    <x v="35"/>
    <n v="116"/>
    <m/>
    <s v="Д, 120"/>
    <x v="3"/>
    <x v="2"/>
    <x v="2"/>
    <s v="&gt;0,95"/>
    <s v="Luxdator"/>
    <s v="II"/>
    <s v="Матовый"/>
    <s v="&lt;1%"/>
    <x v="13"/>
    <n v="80"/>
    <s v="Everlight 0,5W 72шт"/>
    <s v="117мА"/>
    <x v="3"/>
    <s v="Полистирол"/>
    <s v="Накладное/встраиваемое"/>
    <x v="44"/>
    <m/>
    <x v="12"/>
    <x v="5"/>
    <s v="30 000 ч"/>
  </r>
  <r>
    <x v="1251"/>
    <x v="181"/>
    <x v="35"/>
    <n v="116"/>
    <m/>
    <s v="Д, 120"/>
    <x v="4"/>
    <x v="3"/>
    <x v="2"/>
    <s v="≥0,95"/>
    <s v="Аргос"/>
    <s v="I"/>
    <s v="Матовый"/>
    <s v="&lt;1%"/>
    <x v="13"/>
    <n v="80"/>
    <s v="Edison 84шт"/>
    <s v="100mA"/>
    <x v="3"/>
    <s v="Формованная листовая сталь с порошковой окраской"/>
    <s v="Накладное/встраиваемое в потолок грильято"/>
    <x v="247"/>
    <m/>
    <x v="13"/>
    <x v="8"/>
    <s v="100 000 ч"/>
  </r>
  <r>
    <x v="1252"/>
    <x v="181"/>
    <x v="35"/>
    <n v="116"/>
    <m/>
    <s v="Д, 120"/>
    <x v="4"/>
    <x v="3"/>
    <x v="2"/>
    <s v="≥0,95"/>
    <s v="Аргос"/>
    <s v="I"/>
    <s v="Матовый"/>
    <s v="&lt;1%"/>
    <x v="13"/>
    <n v="80"/>
    <s v="Edison 84шт"/>
    <s v="100mA"/>
    <x v="3"/>
    <s v="Формованная листовая сталь с порошковой окраской"/>
    <s v="Накладное/встраиваемое в потолок грильято"/>
    <x v="247"/>
    <m/>
    <x v="13"/>
    <x v="8"/>
    <s v="100 000 ч"/>
  </r>
  <r>
    <x v="1241"/>
    <x v="181"/>
    <x v="35"/>
    <n v="116.11111111111111"/>
    <m/>
    <s v="Д, 120"/>
    <x v="3"/>
    <x v="3"/>
    <x v="2"/>
    <s v="≥0,95"/>
    <s v="Luxdator"/>
    <s v="II"/>
    <s v="Матовый"/>
    <s v="&lt;1%"/>
    <x v="13"/>
    <n v="80"/>
    <s v="Samsung"/>
    <s v="175мА"/>
    <x v="3"/>
    <s v="Полистирол"/>
    <s v="Накладное/встраиваемое"/>
    <x v="43"/>
    <m/>
    <x v="12"/>
    <x v="5"/>
    <s v="60 000 ч"/>
  </r>
  <r>
    <x v="1242"/>
    <x v="181"/>
    <x v="35"/>
    <n v="116.11111111111111"/>
    <m/>
    <s v="Д, 120"/>
    <x v="3"/>
    <x v="3"/>
    <x v="2"/>
    <s v="≥0,95"/>
    <s v="Luxdator"/>
    <s v="II"/>
    <s v="Матовый"/>
    <s v="&lt;1%"/>
    <x v="13"/>
    <n v="80"/>
    <s v="Samsung"/>
    <s v="175мА"/>
    <x v="3"/>
    <s v="Полистирол"/>
    <s v="Накладное/встраиваемое"/>
    <x v="43"/>
    <m/>
    <x v="12"/>
    <x v="5"/>
    <s v="60 000 ч"/>
  </r>
  <r>
    <x v="1253"/>
    <x v="287"/>
    <x v="41"/>
    <n v="120"/>
    <m/>
    <s v="Д, 120"/>
    <x v="5"/>
    <x v="2"/>
    <x v="2"/>
    <n v="0.95"/>
    <s v="СВТ"/>
    <s v="I"/>
    <s v="Матовый"/>
    <s v="&lt;1%"/>
    <x v="1"/>
    <n v="80"/>
    <s v="Samsung х30шт"/>
    <m/>
    <x v="1"/>
    <s v="Алюминий с порошковой окраской"/>
    <s v="Накладной"/>
    <x v="266"/>
    <m/>
    <x v="18"/>
    <x v="2"/>
    <s v="100 000 ч"/>
  </r>
  <r>
    <x v="1254"/>
    <x v="289"/>
    <x v="44"/>
    <n v="83"/>
    <m/>
    <s v="Д, 120"/>
    <x v="3"/>
    <x v="2"/>
    <x v="3"/>
    <m/>
    <s v="СВТ"/>
    <s v="II"/>
    <s v="Матовый ПК"/>
    <n v="0.86"/>
    <x v="5"/>
    <n v="80"/>
    <s v="SMD 2835 х28шт"/>
    <m/>
    <x v="1"/>
    <s v="Полистирол"/>
    <s v="Накладной"/>
    <x v="268"/>
    <m/>
    <x v="87"/>
    <x v="2"/>
    <s v="50 000 ч"/>
  </r>
  <r>
    <x v="0"/>
    <x v="0"/>
    <x v="0"/>
    <m/>
    <m/>
    <m/>
    <x v="0"/>
    <x v="0"/>
    <x v="0"/>
    <m/>
    <m/>
    <m/>
    <m/>
    <m/>
    <x v="0"/>
    <m/>
    <m/>
    <m/>
    <x v="0"/>
    <m/>
    <m/>
    <x v="0"/>
    <m/>
    <x v="0"/>
    <x v="0"/>
    <m/>
  </r>
  <r>
    <x v="1255"/>
    <x v="6"/>
    <x v="119"/>
    <n v="169"/>
    <s v="SB-00008285"/>
    <s v="Д, 120"/>
    <x v="1"/>
    <x v="6"/>
    <x v="1"/>
    <s v="≥0,95"/>
    <s v="MeanWell"/>
    <s v="I"/>
    <s v="Стекло силикатное прозрачное"/>
    <s v="&lt;5%"/>
    <x v="2"/>
    <n v="80"/>
    <s v="Samsung LM281B+ 132 шт"/>
    <s v="117мА"/>
    <x v="1"/>
    <s v="Литой экструдированный алюминиевый анодированный профиль"/>
    <s v="Поворотный кронштейн с хомутом на трубу до 50.8мм"/>
    <x v="93"/>
    <n v="0.01"/>
    <x v="38"/>
    <x v="2"/>
    <s v="100 000 ч"/>
  </r>
  <r>
    <x v="1256"/>
    <x v="7"/>
    <x v="107"/>
    <n v="171"/>
    <s v="SB-00008193"/>
    <s v="Д, 120"/>
    <x v="1"/>
    <x v="6"/>
    <x v="1"/>
    <s v="≥0,95"/>
    <s v="MeanWell"/>
    <s v="I"/>
    <s v="Стекло силикатное прозрачное"/>
    <s v="&lt;5%"/>
    <x v="2"/>
    <n v="80"/>
    <s v="Samsung LM281B+ 168 шт"/>
    <s v="117мА"/>
    <x v="1"/>
    <s v="Литой экструдированный алюминиевый анодированный профиль"/>
    <s v="Поворотный кронштейн с хомутом на трубу до 50.8мм"/>
    <x v="70"/>
    <n v="0.01"/>
    <x v="5"/>
    <x v="2"/>
    <s v="100 000 ч"/>
  </r>
  <r>
    <x v="1257"/>
    <x v="9"/>
    <x v="120"/>
    <n v="172"/>
    <s v="SB-00008108"/>
    <s v="Д, 120"/>
    <x v="1"/>
    <x v="6"/>
    <x v="1"/>
    <s v="≥0,95"/>
    <s v="MeanWell"/>
    <s v="I"/>
    <s v="Стекло силикатное прозрачное"/>
    <s v="&lt;5%"/>
    <x v="2"/>
    <n v="80"/>
    <s v="Samsung LM281B+ 264 шт"/>
    <s v="117мА"/>
    <x v="1"/>
    <s v="Литой экструдированный алюминиевый анодированный профиль"/>
    <s v="Поворотный кронштейн с хомутом на трубу до 50.8мм"/>
    <x v="73"/>
    <n v="0.01"/>
    <x v="6"/>
    <x v="2"/>
    <s v="100 000 ч"/>
  </r>
  <r>
    <x v="1258"/>
    <x v="6"/>
    <x v="119"/>
    <n v="169"/>
    <s v="SB-00008286"/>
    <s v="Д, 120"/>
    <x v="1"/>
    <x v="6"/>
    <x v="1"/>
    <s v="≥0,95"/>
    <s v="MeanWell"/>
    <s v="I"/>
    <s v="Стекло силикатное прозрачное"/>
    <s v="&lt;5%"/>
    <x v="2"/>
    <n v="80"/>
    <s v="Samsung LM281B+ 132 шт"/>
    <s v="117мА"/>
    <x v="1"/>
    <s v="Литой экструдированный алюминиевый анодированный профиль"/>
    <s v="Консоль на трубу до 55мм"/>
    <x v="95"/>
    <n v="0.01"/>
    <x v="38"/>
    <x v="2"/>
    <s v="100 000 ч"/>
  </r>
  <r>
    <x v="1259"/>
    <x v="7"/>
    <x v="107"/>
    <n v="171"/>
    <s v="SB-00008287"/>
    <s v="Д, 120"/>
    <x v="1"/>
    <x v="6"/>
    <x v="1"/>
    <s v="≥0,95"/>
    <s v="MeanWell"/>
    <s v="I"/>
    <s v="Стекло силикатное прозрачное"/>
    <s v="&lt;5%"/>
    <x v="2"/>
    <n v="80"/>
    <s v="Samsung LM281B+ 168 шт"/>
    <s v="117мА"/>
    <x v="1"/>
    <s v="Литой экструдированный алюминиевый анодированный профиль"/>
    <s v="Консоль на трубу до 55мм"/>
    <x v="96"/>
    <n v="0.01"/>
    <x v="5"/>
    <x v="2"/>
    <s v="100 000 ч"/>
  </r>
  <r>
    <x v="1260"/>
    <x v="9"/>
    <x v="120"/>
    <n v="172"/>
    <s v="SB-00008288"/>
    <s v="Д, 120"/>
    <x v="1"/>
    <x v="6"/>
    <x v="1"/>
    <s v="≥0,95"/>
    <s v="MeanWell"/>
    <s v="I"/>
    <s v="Стекло силикатное прозрачное"/>
    <s v="&lt;5%"/>
    <x v="2"/>
    <n v="80"/>
    <s v="Samsung LM281B+ 264 шт"/>
    <s v="117мА"/>
    <x v="1"/>
    <s v="Литой экструдированный алюминиевый анодированный профиль"/>
    <s v="Консоль на трубу до 55мм"/>
    <x v="97"/>
    <n v="0.01"/>
    <x v="6"/>
    <x v="2"/>
    <s v="100 000 ч"/>
  </r>
  <r>
    <x v="1261"/>
    <x v="20"/>
    <x v="36"/>
    <n v="163"/>
    <s v="SB-00008289"/>
    <s v="ШБ, 45x140"/>
    <x v="1"/>
    <x v="6"/>
    <x v="1"/>
    <s v="≥0,95"/>
    <s v="MeanWell"/>
    <s v="I"/>
    <s v="ПММА LEDiL "/>
    <s v="&lt;5%"/>
    <x v="2"/>
    <n v="70"/>
    <s v="Osram Duris S8 24шт"/>
    <s v="350мА"/>
    <x v="1"/>
    <s v="Литой экструдированный алюминиевый анодированный профиль"/>
    <s v="Консоль на трубу до 55мм"/>
    <x v="100"/>
    <n v="0.01"/>
    <x v="5"/>
    <x v="2"/>
    <s v="100 000 ч"/>
  </r>
  <r>
    <x v="1262"/>
    <x v="20"/>
    <x v="36"/>
    <n v="163"/>
    <s v="SB-00008290"/>
    <s v="К, 20"/>
    <x v="1"/>
    <x v="6"/>
    <x v="1"/>
    <s v="≥0,95"/>
    <s v="MeanWell"/>
    <s v="I"/>
    <s v="ПММА LEDiL "/>
    <s v="&lt;5%"/>
    <x v="2"/>
    <n v="70"/>
    <s v="Osram Duris S8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2"/>
    <s v="100 000 ч"/>
  </r>
  <r>
    <x v="1263"/>
    <x v="20"/>
    <x v="36"/>
    <n v="163"/>
    <s v="SB-00008291"/>
    <s v="К, 35"/>
    <x v="1"/>
    <x v="6"/>
    <x v="1"/>
    <s v="≥0,95"/>
    <s v="MeanWell"/>
    <s v="I"/>
    <s v="ПММА LEDiL "/>
    <s v="&lt;5%"/>
    <x v="2"/>
    <n v="70"/>
    <s v="Osram Duris S8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2"/>
    <s v="100 000 ч"/>
  </r>
  <r>
    <x v="1264"/>
    <x v="20"/>
    <x v="36"/>
    <n v="163"/>
    <s v="SB-00008292"/>
    <s v="Г, 65"/>
    <x v="1"/>
    <x v="6"/>
    <x v="1"/>
    <s v="≥0,95"/>
    <s v="MeanWell"/>
    <s v="I"/>
    <s v="ПММА LEDiL "/>
    <s v="&lt;5%"/>
    <x v="2"/>
    <n v="70"/>
    <s v="Osram Duris S8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2"/>
    <s v="100 000 ч"/>
  </r>
  <r>
    <x v="1265"/>
    <x v="20"/>
    <x v="36"/>
    <n v="163"/>
    <s v="SB-00008293"/>
    <s v="Д, 100"/>
    <x v="1"/>
    <x v="6"/>
    <x v="1"/>
    <s v="≥0,95"/>
    <s v="MeanWell"/>
    <s v="I"/>
    <s v="ПММА LEDiL "/>
    <s v="&lt;5%"/>
    <x v="2"/>
    <n v="70"/>
    <s v="Osram Duris S8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2"/>
    <s v="100 000 ч"/>
  </r>
  <r>
    <x v="1266"/>
    <x v="20"/>
    <x v="36"/>
    <n v="163"/>
    <s v="SB-00008294"/>
    <s v="Овал 30x120"/>
    <x v="1"/>
    <x v="6"/>
    <x v="1"/>
    <s v="≥0,95"/>
    <s v="MeanWell"/>
    <s v="I"/>
    <s v="ПММА LEDiL "/>
    <s v="&lt;5%"/>
    <x v="2"/>
    <n v="70"/>
    <s v="Osram Duris S8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2"/>
    <s v="100 000 ч"/>
  </r>
  <r>
    <x v="1267"/>
    <x v="20"/>
    <x v="36"/>
    <n v="163"/>
    <s v="SB-00008295"/>
    <s v="Ш, 150"/>
    <x v="1"/>
    <x v="6"/>
    <x v="1"/>
    <s v="≥0,95"/>
    <s v="MeanWell"/>
    <s v="I"/>
    <s v="ПММА LEDiL "/>
    <s v="&lt;5%"/>
    <x v="2"/>
    <n v="70"/>
    <s v="Osram Duris S8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2"/>
    <s v="100 000 ч"/>
  </r>
  <r>
    <x v="1268"/>
    <x v="20"/>
    <x v="36"/>
    <n v="163"/>
    <s v="SB-00008296"/>
    <s v="ШБ, 45x140"/>
    <x v="1"/>
    <x v="6"/>
    <x v="1"/>
    <s v="≥0,95"/>
    <s v="MeanWell"/>
    <s v="I"/>
    <s v="ПММА LEDiL "/>
    <s v="&lt;5%"/>
    <x v="2"/>
    <n v="70"/>
    <s v="Osram Duris S8 24шт"/>
    <s v="350мА"/>
    <x v="1"/>
    <s v="Литой экструдированный алюминиевый анодированный профиль"/>
    <s v="Поворотный кронштейн с хомутом на трубу до 50.8мм"/>
    <x v="62"/>
    <n v="0.01"/>
    <x v="5"/>
    <x v="2"/>
    <s v="100 000 ч"/>
  </r>
  <r>
    <x v="1269"/>
    <x v="21"/>
    <x v="121"/>
    <n v="161"/>
    <s v="SB-00008297"/>
    <s v="ШБ, 45x140"/>
    <x v="1"/>
    <x v="6"/>
    <x v="1"/>
    <s v="≥0,95"/>
    <s v="MeanWell"/>
    <s v="I"/>
    <s v="ПММА LEDiL "/>
    <s v="&lt;5%"/>
    <x v="2"/>
    <n v="70"/>
    <s v="Osram Duris S8 36шт"/>
    <s v="350мА"/>
    <x v="1"/>
    <s v="Литой экструдированный алюминиевый анодированный профиль"/>
    <s v="Консоль на трубу до 55мм"/>
    <x v="101"/>
    <n v="0.01"/>
    <x v="24"/>
    <x v="2"/>
    <s v="100 000 ч"/>
  </r>
  <r>
    <x v="1270"/>
    <x v="21"/>
    <x v="121"/>
    <n v="161"/>
    <s v="SB-00008298"/>
    <s v="К, 20"/>
    <x v="1"/>
    <x v="6"/>
    <x v="1"/>
    <s v="≥0,95"/>
    <s v="MeanWell"/>
    <s v="I"/>
    <s v="ПММА LEDiL "/>
    <s v="&lt;5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1271"/>
    <x v="21"/>
    <x v="121"/>
    <n v="161"/>
    <s v="SB-00008019"/>
    <s v="К, 35"/>
    <x v="1"/>
    <x v="6"/>
    <x v="1"/>
    <s v="≥0,95"/>
    <s v="MeanWell"/>
    <s v="I"/>
    <s v="ПММА LEDiL "/>
    <s v="&lt;5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1272"/>
    <x v="21"/>
    <x v="121"/>
    <n v="161"/>
    <s v="SB-00008299"/>
    <s v="Г, 65"/>
    <x v="1"/>
    <x v="6"/>
    <x v="1"/>
    <s v="≥0,95"/>
    <s v="MeanWell"/>
    <s v="I"/>
    <s v="ПММА LEDiL "/>
    <s v="&lt;5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1273"/>
    <x v="21"/>
    <x v="121"/>
    <n v="161"/>
    <s v="SB-00008300"/>
    <s v="Д, 100"/>
    <x v="1"/>
    <x v="6"/>
    <x v="1"/>
    <s v="≥0,95"/>
    <s v="MeanWell"/>
    <s v="I"/>
    <s v="ПММА LEDiL "/>
    <s v="&lt;5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1274"/>
    <x v="21"/>
    <x v="121"/>
    <n v="161"/>
    <s v="SB-00008301"/>
    <s v="Овал 30x120"/>
    <x v="1"/>
    <x v="6"/>
    <x v="1"/>
    <s v="≥0,95"/>
    <s v="MeanWell"/>
    <s v="I"/>
    <s v="ПММА LEDiL "/>
    <s v="&lt;5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1275"/>
    <x v="21"/>
    <x v="121"/>
    <n v="161"/>
    <s v="SB-00008302"/>
    <s v="Ш, 150"/>
    <x v="1"/>
    <x v="6"/>
    <x v="1"/>
    <s v="≥0,95"/>
    <s v="MeanWell"/>
    <s v="I"/>
    <s v="ПММА LEDiL "/>
    <s v="&lt;5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1276"/>
    <x v="21"/>
    <x v="121"/>
    <n v="161"/>
    <s v="SB-00008303"/>
    <s v="ШБ, 45x140"/>
    <x v="1"/>
    <x v="6"/>
    <x v="1"/>
    <s v="≥0,95"/>
    <s v="MeanWell"/>
    <s v="I"/>
    <s v="ПММА LEDiL "/>
    <s v="&lt;5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63"/>
    <n v="0.01"/>
    <x v="24"/>
    <x v="2"/>
    <s v="100 000 ч"/>
  </r>
  <r>
    <x v="1277"/>
    <x v="22"/>
    <x v="1"/>
    <n v="165"/>
    <s v="SB-00008304"/>
    <s v="ШБ, 45x140"/>
    <x v="1"/>
    <x v="6"/>
    <x v="1"/>
    <s v="≥0,95"/>
    <s v="MeanWell"/>
    <s v="I"/>
    <s v="ПММА LEDiL "/>
    <s v="&lt;5%"/>
    <x v="2"/>
    <n v="70"/>
    <s v="Osram Duris S8 48шт"/>
    <s v="350мА"/>
    <x v="1"/>
    <s v="Литой экструдированный алюминиевый анодированный профиль"/>
    <s v="Консоль на трубу до 55мм"/>
    <x v="102"/>
    <n v="0.01"/>
    <x v="25"/>
    <x v="2"/>
    <s v="100 000 ч"/>
  </r>
  <r>
    <x v="1278"/>
    <x v="22"/>
    <x v="1"/>
    <n v="165"/>
    <s v="SB-00008305"/>
    <s v="К, 20"/>
    <x v="1"/>
    <x v="6"/>
    <x v="1"/>
    <s v="≥0,95"/>
    <s v="MeanWell"/>
    <s v="I"/>
    <s v="ПММА LEDiL "/>
    <s v="&lt;5%"/>
    <x v="2"/>
    <n v="70"/>
    <s v="Osram Duris S8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1279"/>
    <x v="22"/>
    <x v="1"/>
    <n v="165"/>
    <s v="SB-00008306"/>
    <s v="К, 35"/>
    <x v="1"/>
    <x v="6"/>
    <x v="1"/>
    <s v="≥0,95"/>
    <s v="MeanWell"/>
    <s v="I"/>
    <s v="ПММА LEDiL "/>
    <s v="&lt;5%"/>
    <x v="2"/>
    <n v="70"/>
    <s v="Osram Duris S8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1280"/>
    <x v="22"/>
    <x v="1"/>
    <n v="165"/>
    <s v="SB-00008307"/>
    <s v="Г, 65"/>
    <x v="1"/>
    <x v="6"/>
    <x v="1"/>
    <s v="≥0,95"/>
    <s v="MeanWell"/>
    <s v="I"/>
    <s v="ПММА LEDiL "/>
    <s v="&lt;5%"/>
    <x v="2"/>
    <n v="70"/>
    <s v="Osram Duris S8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1281"/>
    <x v="22"/>
    <x v="1"/>
    <n v="165"/>
    <s v="SB-00008308"/>
    <s v="Д, 100"/>
    <x v="1"/>
    <x v="6"/>
    <x v="1"/>
    <s v="≥0,95"/>
    <s v="MeanWell"/>
    <s v="I"/>
    <s v="ПММА LEDiL "/>
    <s v="&lt;5%"/>
    <x v="2"/>
    <n v="70"/>
    <s v="Osram Duris S8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1282"/>
    <x v="22"/>
    <x v="1"/>
    <n v="165"/>
    <s v="SB-00008309"/>
    <s v="Овал 30x120"/>
    <x v="1"/>
    <x v="6"/>
    <x v="1"/>
    <s v="≥0,95"/>
    <s v="MeanWell"/>
    <s v="I"/>
    <s v="ПММА LEDiL "/>
    <s v="&lt;5%"/>
    <x v="2"/>
    <n v="70"/>
    <s v="Osram Duris S8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1283"/>
    <x v="22"/>
    <x v="1"/>
    <n v="165"/>
    <s v="SB-00008310"/>
    <s v="Ш, 150"/>
    <x v="1"/>
    <x v="6"/>
    <x v="1"/>
    <s v="≥0,95"/>
    <s v="MeanWell"/>
    <s v="I"/>
    <s v="ПММА LEDiL "/>
    <s v="&lt;5%"/>
    <x v="2"/>
    <n v="70"/>
    <s v="Osram Duris S8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1284"/>
    <x v="22"/>
    <x v="1"/>
    <n v="165"/>
    <s v="SB-00008311"/>
    <s v="ШБ, 45x140"/>
    <x v="1"/>
    <x v="6"/>
    <x v="1"/>
    <s v="≥0,95"/>
    <s v="MeanWell"/>
    <s v="I"/>
    <s v="ПММА LEDiL "/>
    <s v="&lt;5%"/>
    <x v="2"/>
    <n v="70"/>
    <s v="Osram Duris S8 48шт"/>
    <s v="350мА"/>
    <x v="1"/>
    <s v="Литой экструдированный алюминиевый анодированный профиль"/>
    <s v="Поворотный кронштейн с хомутом на трубу до 50.8мм"/>
    <x v="64"/>
    <n v="0.01"/>
    <x v="25"/>
    <x v="2"/>
    <s v="100 000 ч"/>
  </r>
  <r>
    <x v="1285"/>
    <x v="196"/>
    <x v="9"/>
    <n v="148"/>
    <s v="SB-00009131"/>
    <s v="Д, 120"/>
    <x v="1"/>
    <x v="3"/>
    <x v="1"/>
    <s v="≥0,95"/>
    <s v="MeanWell"/>
    <s v="I"/>
    <s v="Стекло силикатное прозрачное"/>
    <s v="&lt;5%"/>
    <x v="2"/>
    <n v="80"/>
    <s v="Samsung LM281B+ 264 шт"/>
    <s v="117мА"/>
    <x v="1"/>
    <s v="Литой экструдированный алюминиевый анодированный профиль"/>
    <s v="Поворотный кронштейн с хомутом на трубу до 50.8мм"/>
    <x v="153"/>
    <n v="0.1"/>
    <x v="36"/>
    <x v="2"/>
    <s v="100 000 ч"/>
  </r>
  <r>
    <x v="1286"/>
    <x v="196"/>
    <x v="9"/>
    <n v="148"/>
    <s v="SB-00009132"/>
    <s v="Д, 120"/>
    <x v="1"/>
    <x v="3"/>
    <x v="1"/>
    <s v="≥0,95"/>
    <s v="MeanWell"/>
    <s v="I"/>
    <s v="Стекло силикатное прозрачное"/>
    <s v="&lt;5%"/>
    <x v="2"/>
    <n v="80"/>
    <s v="Samsung LM281B+ 264 шт"/>
    <s v="117мА"/>
    <x v="1"/>
    <s v="Литой экструдированный алюминиевый анодированный профиль"/>
    <s v="Консоль на трубу до 55мм"/>
    <x v="158"/>
    <n v="0.1"/>
    <x v="36"/>
    <x v="2"/>
    <s v="100 000 ч"/>
  </r>
  <r>
    <x v="1287"/>
    <x v="200"/>
    <x v="21"/>
    <n v="151"/>
    <s v="SB-00013427"/>
    <s v="Г, 65"/>
    <x v="1"/>
    <x v="3"/>
    <x v="1"/>
    <s v="≥0,95"/>
    <s v="MeanWell"/>
    <s v="I"/>
    <s v="ПММА LEDiL "/>
    <s v="&lt;5%"/>
    <x v="2"/>
    <n v="70"/>
    <s v="Osram Duris S8 36шт"/>
    <s v="350мА"/>
    <x v="1"/>
    <s v="Литой экструдированный алюминиевый анодированный профиль"/>
    <s v="Поворотный кронштейн с хомутом на трубу до 50.8мм"/>
    <x v="162"/>
    <n v="1.6951999999999998E-2"/>
    <x v="23"/>
    <x v="2"/>
    <s v="100 000 ч"/>
  </r>
  <r>
    <x v="1288"/>
    <x v="298"/>
    <x v="42"/>
    <n v="132"/>
    <s v="SB-00004489"/>
    <s v="Д, 120"/>
    <x v="5"/>
    <x v="2"/>
    <x v="2"/>
    <s v="≥0,95"/>
    <s v="Аргос/Трион или иной по запросу"/>
    <s v="I"/>
    <s v="Прозрачный поликарбонат 3мм"/>
    <s v="&lt;1%"/>
    <x v="2"/>
    <s v="80+ * - по умолчанию"/>
    <s v="Samsung LM281B 81шт"/>
    <s v="117mA"/>
    <x v="1"/>
    <s v="Литой экструдированный алюминиевый анодированный профиль"/>
    <s v="Поворотный кронштейн с хомутом на трубу до 50.8мм"/>
    <x v="280"/>
    <n v="0.01"/>
    <x v="70"/>
    <x v="2"/>
    <s v="100 000 ч"/>
  </r>
  <r>
    <x v="1289"/>
    <x v="299"/>
    <x v="36"/>
    <n v="132"/>
    <s v="SB-00004497"/>
    <s v="Д, 120"/>
    <x v="5"/>
    <x v="2"/>
    <x v="2"/>
    <s v="≥0,95"/>
    <s v="Аргос/Трион или иной по запросу"/>
    <s v="I"/>
    <s v="Прозрачный поликарбонат 3мм"/>
    <s v="&lt;1%"/>
    <x v="2"/>
    <s v="80+ * - по умолчанию"/>
    <s v="Samsung LM281B 126шт"/>
    <s v="117mA"/>
    <x v="1"/>
    <s v="Литой экструдированный алюминиевый анодированный профиль"/>
    <s v="Поворотный кронштейн с хомутом на трубу до 50.8мм"/>
    <x v="281"/>
    <n v="0.01"/>
    <x v="70"/>
    <x v="2"/>
    <s v="100 000 ч"/>
  </r>
  <r>
    <x v="1290"/>
    <x v="300"/>
    <x v="122"/>
    <n v="132"/>
    <s v="SB-00004500"/>
    <s v="Д, 120"/>
    <x v="5"/>
    <x v="2"/>
    <x v="2"/>
    <s v="≥0,95"/>
    <s v="Аргос/Трион или иной по запросу"/>
    <s v="I"/>
    <s v="Прозрачный поликарбонат 3мм"/>
    <s v="&lt;1%"/>
    <x v="2"/>
    <s v="80+ * - по умолчанию"/>
    <s v="Samsung LM281B 162шт"/>
    <s v="117mA"/>
    <x v="1"/>
    <s v="Литой экструдированный алюминиевый анодированный профиль"/>
    <s v="Поворотный кронштейн с хомутом на трубу до 50.8мм"/>
    <x v="282"/>
    <n v="8.6400000000000001E-3"/>
    <x v="92"/>
    <x v="2"/>
    <s v="100 000 ч"/>
  </r>
  <r>
    <x v="1291"/>
    <x v="301"/>
    <x v="1"/>
    <n v="132"/>
    <s v="SB-00004474"/>
    <s v="Д, 120"/>
    <x v="5"/>
    <x v="2"/>
    <x v="2"/>
    <s v="≥0,95"/>
    <s v="Аргос/Трион или иной по запросу"/>
    <s v="I"/>
    <s v="Прозрачный поликарбонат 3мм"/>
    <s v="&lt;1%"/>
    <x v="2"/>
    <s v="80+ * - по умолчанию"/>
    <s v="Samsung LM281B 252шт"/>
    <s v="117mA"/>
    <x v="1"/>
    <s v="Литой экструдированный алюминиевый анодированный профиль"/>
    <s v="Поворотный кронштейн с хомутом на трубу до 50.8мм"/>
    <x v="282"/>
    <n v="8.6400000000000001E-3"/>
    <x v="7"/>
    <x v="2"/>
    <s v="100 000 ч"/>
  </r>
  <r>
    <x v="1292"/>
    <x v="302"/>
    <x v="56"/>
    <n v="132"/>
    <s v="SB-00004484"/>
    <s v="Д, 120"/>
    <x v="5"/>
    <x v="2"/>
    <x v="2"/>
    <s v="≥0,95"/>
    <s v="Аргос/Трион или иной по запросу"/>
    <s v="I"/>
    <s v="Прозрачный поликарбонат 3мм"/>
    <s v="&lt;1%"/>
    <x v="2"/>
    <s v="80+ * - по умолчанию"/>
    <s v="Samsung LM281B 378шт"/>
    <s v="117mA"/>
    <x v="1"/>
    <s v="Литой экструдированный алюминиевый анодированный профиль"/>
    <s v="Поворотный кронштейн с хомутом на трубу до 50.8мм"/>
    <x v="283"/>
    <n v="1.2959999999999999E-2"/>
    <x v="93"/>
    <x v="2"/>
    <s v="100 000 ч"/>
  </r>
  <r>
    <x v="1293"/>
    <x v="303"/>
    <x v="123"/>
    <n v="132"/>
    <s v="SB-00004478"/>
    <s v="Д, 120"/>
    <x v="5"/>
    <x v="2"/>
    <x v="2"/>
    <s v="≥0,95"/>
    <s v="Аргос/Трион или иной по запросу"/>
    <s v="I"/>
    <s v="Прозрачный поликарбонат 3мм"/>
    <s v="&lt;1%"/>
    <x v="2"/>
    <s v="80+ * - по умолчанию"/>
    <s v="Samsung LM281B 504шт"/>
    <s v="117mA"/>
    <x v="1"/>
    <s v="Литой экструдированный алюминиевый анодированный профиль"/>
    <s v="Поворотный кронштейн с хомутом на трубу до 50.8мм"/>
    <x v="284"/>
    <n v="1.728E-2"/>
    <x v="94"/>
    <x v="2"/>
    <s v="100 000 ч"/>
  </r>
  <r>
    <x v="1294"/>
    <x v="304"/>
    <x v="124"/>
    <n v="132"/>
    <s v="SB-00004481"/>
    <s v="Д, 120"/>
    <x v="5"/>
    <x v="2"/>
    <x v="2"/>
    <s v="≥0,95"/>
    <s v="Аргос/Трион или иной по запросу"/>
    <s v="I"/>
    <s v="Прозрачный поликарбонат 3мм"/>
    <s v="&lt;1%"/>
    <x v="2"/>
    <s v="80+ * - по умолчанию"/>
    <s v="Samsung LM281B 756шт"/>
    <s v="117mA"/>
    <x v="1"/>
    <s v="Литой экструдированный алюминиевый анодированный профиль"/>
    <s v="Поворотный кронштейн с хомутом на трубу до 50.8мм"/>
    <x v="285"/>
    <n v="2.5919999999999999E-2"/>
    <x v="95"/>
    <x v="2"/>
    <s v="100 000 ч"/>
  </r>
  <r>
    <x v="1295"/>
    <x v="305"/>
    <x v="89"/>
    <n v="132"/>
    <s v="SB-00004480"/>
    <s v="Д, 120"/>
    <x v="5"/>
    <x v="2"/>
    <x v="2"/>
    <s v="≥0,95"/>
    <s v="Аргос/Трион или иной по запросу"/>
    <s v="I"/>
    <s v="Прозрачный поликарбонат 3мм"/>
    <s v="&lt;1%"/>
    <x v="2"/>
    <s v="80+ * - по умолчанию"/>
    <s v="Samsung LM281B 1008шт"/>
    <s v="117mA"/>
    <x v="1"/>
    <s v="Литой экструдированный алюминиевый анодированный профиль"/>
    <s v="Поворотный кронштейн с хомутом на трубу до 50.8мм"/>
    <x v="286"/>
    <n v="3.456E-2"/>
    <x v="96"/>
    <x v="2"/>
    <s v="100 000 ч"/>
  </r>
  <r>
    <x v="1296"/>
    <x v="306"/>
    <x v="43"/>
    <n v="100"/>
    <s v="SB-00007542"/>
    <s v="Д, 120"/>
    <x v="5"/>
    <x v="2"/>
    <x v="4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5.4599999999999996E-3"/>
    <x v="17"/>
    <x v="2"/>
    <s v="100 000 ч"/>
  </r>
  <r>
    <x v="1297"/>
    <x v="306"/>
    <x v="43"/>
    <n v="100"/>
    <s v="SB-00007543"/>
    <s v="Д, 120"/>
    <x v="5"/>
    <x v="2"/>
    <x v="5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5.4599999999999996E-3"/>
    <x v="17"/>
    <x v="2"/>
    <s v="100 000 ч"/>
  </r>
  <r>
    <x v="1298"/>
    <x v="306"/>
    <x v="43"/>
    <n v="100"/>
    <s v="SB-00007544"/>
    <s v="Д, 120"/>
    <x v="5"/>
    <x v="2"/>
    <x v="6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5.4599999999999996E-3"/>
    <x v="17"/>
    <x v="2"/>
    <s v="100 000 ч"/>
  </r>
  <r>
    <x v="1299"/>
    <x v="306"/>
    <x v="43"/>
    <n v="100"/>
    <s v="SB-00007545"/>
    <s v="Д, 120"/>
    <x v="5"/>
    <x v="2"/>
    <x v="7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5.4599999999999996E-3"/>
    <x v="17"/>
    <x v="2"/>
    <s v="100 000 ч"/>
  </r>
  <r>
    <x v="1300"/>
    <x v="306"/>
    <x v="43"/>
    <n v="100"/>
    <s v="SB-00007546"/>
    <s v="Д, 120"/>
    <x v="5"/>
    <x v="2"/>
    <x v="8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5.4599999999999996E-3"/>
    <x v="17"/>
    <x v="2"/>
    <s v="100 000 ч"/>
  </r>
  <r>
    <x v="1301"/>
    <x v="306"/>
    <x v="43"/>
    <n v="100"/>
    <s v="SB-00007547"/>
    <s v="Д, 120"/>
    <x v="5"/>
    <x v="2"/>
    <x v="9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5.4599999999999996E-3"/>
    <x v="17"/>
    <x v="2"/>
    <s v="100 000 ч"/>
  </r>
  <r>
    <x v="1302"/>
    <x v="307"/>
    <x v="34"/>
    <n v="95"/>
    <s v="SB-00007548"/>
    <s v="Д, 120"/>
    <x v="5"/>
    <x v="2"/>
    <x v="4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7.3920000000000001E-3"/>
    <x v="17"/>
    <x v="2"/>
    <s v="100 000 ч"/>
  </r>
  <r>
    <x v="1303"/>
    <x v="307"/>
    <x v="34"/>
    <n v="95"/>
    <s v="SB-00007549"/>
    <s v="Д, 120"/>
    <x v="5"/>
    <x v="2"/>
    <x v="5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7.3920000000000001E-3"/>
    <x v="17"/>
    <x v="2"/>
    <s v="100 000 ч"/>
  </r>
  <r>
    <x v="1304"/>
    <x v="307"/>
    <x v="34"/>
    <n v="95"/>
    <s v="SB-00007550"/>
    <s v="Д, 120"/>
    <x v="5"/>
    <x v="2"/>
    <x v="6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1.1440000000000001E-2"/>
    <x v="17"/>
    <x v="2"/>
    <s v="100 000 ч"/>
  </r>
  <r>
    <x v="1305"/>
    <x v="307"/>
    <x v="34"/>
    <n v="95"/>
    <s v="SB-00007553"/>
    <s v="Д, 120"/>
    <x v="5"/>
    <x v="2"/>
    <x v="7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1.1440000000000001E-2"/>
    <x v="17"/>
    <x v="2"/>
    <s v="100 000 ч"/>
  </r>
  <r>
    <x v="1306"/>
    <x v="307"/>
    <x v="34"/>
    <n v="95"/>
    <s v="SB-00007554"/>
    <s v="Д, 120"/>
    <x v="5"/>
    <x v="2"/>
    <x v="8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5.3949999999999996E-3"/>
    <x v="17"/>
    <x v="2"/>
    <s v="100 000 ч"/>
  </r>
  <r>
    <x v="1307"/>
    <x v="307"/>
    <x v="34"/>
    <n v="95"/>
    <s v="SB-00007555"/>
    <s v="Д, 120"/>
    <x v="5"/>
    <x v="2"/>
    <x v="9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5.3949999999999996E-3"/>
    <x v="17"/>
    <x v="2"/>
    <s v="100 000 ч"/>
  </r>
  <r>
    <x v="1308"/>
    <x v="34"/>
    <x v="5"/>
    <n v="90"/>
    <s v="SB-00007556"/>
    <s v="Д, 120"/>
    <x v="5"/>
    <x v="2"/>
    <x v="4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7.3920000000000001E-3"/>
    <x v="17"/>
    <x v="2"/>
    <s v="100 000 ч"/>
  </r>
  <r>
    <x v="1309"/>
    <x v="34"/>
    <x v="5"/>
    <n v="90"/>
    <s v="SB-00007557"/>
    <s v="Д, 120"/>
    <x v="5"/>
    <x v="2"/>
    <x v="5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7.3920000000000001E-3"/>
    <x v="17"/>
    <x v="2"/>
    <s v="100 000 ч"/>
  </r>
  <r>
    <x v="1310"/>
    <x v="34"/>
    <x v="5"/>
    <n v="90"/>
    <s v="SB-00007558"/>
    <s v="Д, 120"/>
    <x v="5"/>
    <x v="2"/>
    <x v="6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1.1440000000000001E-2"/>
    <x v="17"/>
    <x v="2"/>
    <s v="100 000 ч"/>
  </r>
  <r>
    <x v="1311"/>
    <x v="34"/>
    <x v="5"/>
    <n v="90"/>
    <s v="SB-00007559"/>
    <s v="Д, 120"/>
    <x v="5"/>
    <x v="2"/>
    <x v="7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1.1440000000000001E-2"/>
    <x v="17"/>
    <x v="2"/>
    <s v="100 000 ч"/>
  </r>
  <r>
    <x v="1312"/>
    <x v="34"/>
    <x v="5"/>
    <n v="90"/>
    <s v="SB-00007560"/>
    <s v="Д, 120"/>
    <x v="5"/>
    <x v="2"/>
    <x v="8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5.3949999999999996E-3"/>
    <x v="17"/>
    <x v="2"/>
    <s v="100 000 ч"/>
  </r>
  <r>
    <x v="1313"/>
    <x v="34"/>
    <x v="5"/>
    <n v="90"/>
    <s v="SB-00007561"/>
    <s v="Д, 120"/>
    <x v="5"/>
    <x v="2"/>
    <x v="9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с хомутом на трубу до 50.8мм"/>
    <x v="53"/>
    <n v="5.3949999999999996E-3"/>
    <x v="17"/>
    <x v="2"/>
    <s v="100 000 ч"/>
  </r>
  <r>
    <x v="1314"/>
    <x v="308"/>
    <x v="56"/>
    <n v="146"/>
    <s v="SB-00015466"/>
    <s v="ШБ, 157x57"/>
    <x v="1"/>
    <x v="3"/>
    <x v="1"/>
    <s v="≥0,95"/>
    <s v="MeanWell или иной по запросу"/>
    <s v="I"/>
    <s v="ПММА LEDiL + силикатное прозрачное стекло 3мм "/>
    <s v="&lt;1%"/>
    <x v="5"/>
    <n v="70"/>
    <s v="Osram Duris S8 48шт"/>
    <s v="525мА"/>
    <x v="1"/>
    <s v="Литой алюминиевый корпус с порошковой окраской сегого цвета"/>
    <s v="Регулируемая консоль на трубу до 60мм"/>
    <x v="287"/>
    <n v="0.02"/>
    <x v="97"/>
    <x v="2"/>
    <s v="100 000 ч"/>
  </r>
  <r>
    <x v="1315"/>
    <x v="128"/>
    <x v="8"/>
    <n v="164"/>
    <s v="SB-00018441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16 шт"/>
    <s v="117мА"/>
    <x v="2"/>
    <s v="Литой экструдированный алюминиевый анодированный профиль"/>
    <s v="Консоль на трубу до 55мм"/>
    <x v="97"/>
    <n v="0.01"/>
    <x v="23"/>
    <x v="9"/>
    <s v="100 000 ч"/>
  </r>
  <r>
    <x v="1315"/>
    <x v="128"/>
    <x v="8"/>
    <n v="164"/>
    <s v="SB-00018441"/>
    <s v="Д, 120"/>
    <x v="1"/>
    <x v="3"/>
    <x v="2"/>
    <s v="≥0,95"/>
    <s v="Аргос/Трион (с защитой от 380В и грозозащитой)"/>
    <s v="I"/>
    <s v="Стекло силикатное прозрачное"/>
    <s v="&lt;1%"/>
    <x v="2"/>
    <n v="80"/>
    <s v="Samsung LM281B+ 216 шт"/>
    <s v="117мА"/>
    <x v="2"/>
    <s v="Литой экструдированный алюминиевый анодированный профиль"/>
    <s v="Консоль на трубу до 55мм"/>
    <x v="97"/>
    <n v="0.01"/>
    <x v="23"/>
    <x v="9"/>
    <s v="100 000 ч"/>
  </r>
  <r>
    <x v="1316"/>
    <x v="309"/>
    <x v="12"/>
    <n v="151"/>
    <s v="SB-00008616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84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288"/>
    <n v="0.06"/>
    <x v="27"/>
    <x v="4"/>
    <s v="100 000 ч"/>
  </r>
  <r>
    <x v="1317"/>
    <x v="310"/>
    <x v="15"/>
    <n v="158"/>
    <s v="SB-00008617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132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289"/>
    <n v="7.0000000000000007E-2"/>
    <x v="1"/>
    <x v="4"/>
    <s v="100 000 ч"/>
  </r>
  <r>
    <x v="1318"/>
    <x v="311"/>
    <x v="125"/>
    <n v="160"/>
    <s v="SB-00008618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6*168 шт"/>
    <s v="117мА"/>
    <x v="1"/>
    <s v="Литой экструдированный алюминиевый анодированный профиль + крепеж"/>
    <s v="Подвес за 1 точку. Трос в комплекте (1 метр). "/>
    <x v="290"/>
    <n v="0.12"/>
    <x v="50"/>
    <x v="2"/>
    <s v="100 000 ч"/>
  </r>
  <r>
    <x v="1319"/>
    <x v="312"/>
    <x v="72"/>
    <n v="153"/>
    <s v="SB-00013477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6*12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1"/>
    <n v="0.06"/>
    <x v="27"/>
    <x v="4"/>
    <s v="100 000 ч"/>
  </r>
  <r>
    <x v="1320"/>
    <x v="312"/>
    <x v="72"/>
    <n v="153"/>
    <s v="SB-00013478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6*12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1"/>
    <n v="0.06"/>
    <x v="27"/>
    <x v="4"/>
    <s v="100 000 ч"/>
  </r>
  <r>
    <x v="1321"/>
    <x v="312"/>
    <x v="72"/>
    <n v="153"/>
    <s v="SB-00013479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6*12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1"/>
    <n v="0.06"/>
    <x v="27"/>
    <x v="4"/>
    <s v="100 000 ч"/>
  </r>
  <r>
    <x v="1322"/>
    <x v="313"/>
    <x v="126"/>
    <n v="158"/>
    <s v="SB-00013480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6*24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2"/>
    <n v="0.14000000000000001"/>
    <x v="50"/>
    <x v="4"/>
    <s v="100 000 ч"/>
  </r>
  <r>
    <x v="1323"/>
    <x v="313"/>
    <x v="126"/>
    <n v="158"/>
    <s v="SB-00013481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6*24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2"/>
    <n v="0.14000000000000001"/>
    <x v="50"/>
    <x v="4"/>
    <s v="100 000 ч"/>
  </r>
  <r>
    <x v="1324"/>
    <x v="313"/>
    <x v="126"/>
    <n v="158"/>
    <s v="SB-00013482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6*24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2"/>
    <n v="0.14000000000000001"/>
    <x v="50"/>
    <x v="4"/>
    <s v="100 000 ч"/>
  </r>
  <r>
    <x v="1325"/>
    <x v="314"/>
    <x v="55"/>
    <n v="151"/>
    <s v="SB-00008640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4*84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288"/>
    <n v="0.06"/>
    <x v="26"/>
    <x v="4"/>
    <s v="100 000 ч"/>
  </r>
  <r>
    <x v="1326"/>
    <x v="315"/>
    <x v="12"/>
    <n v="158"/>
    <s v="SB-00008641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4*132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289"/>
    <n v="7.0000000000000007E-2"/>
    <x v="49"/>
    <x v="4"/>
    <s v="100 000 ч"/>
  </r>
  <r>
    <x v="1327"/>
    <x v="316"/>
    <x v="16"/>
    <n v="160"/>
    <s v="SB-00008642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4*168 шт"/>
    <s v="117мА"/>
    <x v="1"/>
    <s v="Литой экструдированный алюминиевый анодированный профиль + крепеж"/>
    <s v="Подвес за 1 точку. Трос в комплекте (1 метр). "/>
    <x v="290"/>
    <n v="0.12"/>
    <x v="32"/>
    <x v="2"/>
    <s v="100 000 ч"/>
  </r>
  <r>
    <x v="1328"/>
    <x v="201"/>
    <x v="9"/>
    <n v="151"/>
    <s v="SB-00008643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*84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288"/>
    <n v="0.06"/>
    <x v="31"/>
    <x v="4"/>
    <s v="100 000 ч"/>
  </r>
  <r>
    <x v="1329"/>
    <x v="202"/>
    <x v="64"/>
    <n v="158"/>
    <s v="SB-00008644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*132 шт"/>
    <s v="117мА"/>
    <x v="2"/>
    <s v="Литой экструдированный алюминиевый анодированный профиль + крепеж"/>
    <s v="Подвес за 1 точку. Трос в комплекте (1 метр). "/>
    <x v="289"/>
    <n v="7.0000000000000007E-2"/>
    <x v="98"/>
    <x v="4"/>
    <s v="100 000 ч"/>
  </r>
  <r>
    <x v="1330"/>
    <x v="204"/>
    <x v="13"/>
    <n v="160"/>
    <s v="SB-00008645"/>
    <s v="Д, 120"/>
    <x v="1"/>
    <x v="3"/>
    <x v="2"/>
    <s v="≥0,95"/>
    <s v="Аргос/Трион с защитой от 380В или иной по запросу"/>
    <s v="II"/>
    <s v="Стекло силикатное прозрачное"/>
    <s v="&lt;1%"/>
    <x v="2"/>
    <n v="80"/>
    <s v="Samsung LM281B+ 3*168 шт"/>
    <s v="117мА"/>
    <x v="1"/>
    <s v="Литой экструдированный алюминиевый анодированный профиль + крепеж"/>
    <s v="Подвес за 1 точку. Трос в комплекте (1 метр). "/>
    <x v="290"/>
    <n v="0.12"/>
    <x v="63"/>
    <x v="2"/>
    <s v="100 000 ч"/>
  </r>
  <r>
    <x v="1331"/>
    <x v="317"/>
    <x v="78"/>
    <n v="153"/>
    <s v="SB-00013483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*12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1"/>
    <n v="0.06"/>
    <x v="63"/>
    <x v="4"/>
    <s v="100 000 ч"/>
  </r>
  <r>
    <x v="1332"/>
    <x v="317"/>
    <x v="78"/>
    <n v="153"/>
    <s v="SB-00013484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*12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1"/>
    <n v="0.06"/>
    <x v="63"/>
    <x v="4"/>
    <s v="100 000 ч"/>
  </r>
  <r>
    <x v="1333"/>
    <x v="317"/>
    <x v="78"/>
    <n v="153"/>
    <s v="SB-00013485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*12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1"/>
    <n v="0.06"/>
    <x v="63"/>
    <x v="4"/>
    <s v="100 000 ч"/>
  </r>
  <r>
    <x v="1334"/>
    <x v="216"/>
    <x v="29"/>
    <n v="158"/>
    <s v="SB-00013486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*24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2"/>
    <n v="0.14000000000000001"/>
    <x v="28"/>
    <x v="4"/>
    <s v="100 000 ч"/>
  </r>
  <r>
    <x v="1335"/>
    <x v="216"/>
    <x v="29"/>
    <n v="158"/>
    <s v="SB-00013487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*24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2"/>
    <n v="0.14000000000000001"/>
    <x v="28"/>
    <x v="4"/>
    <s v="100 000 ч"/>
  </r>
  <r>
    <x v="1336"/>
    <x v="216"/>
    <x v="29"/>
    <n v="158"/>
    <s v="SB-00013488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4*24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2"/>
    <n v="0.14000000000000001"/>
    <x v="28"/>
    <x v="4"/>
    <s v="100 000 ч"/>
  </r>
  <r>
    <x v="1337"/>
    <x v="213"/>
    <x v="45"/>
    <n v="153"/>
    <s v="SB-00013489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*12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1"/>
    <n v="0.06"/>
    <x v="31"/>
    <x v="4"/>
    <s v="100 000 ч"/>
  </r>
  <r>
    <x v="1338"/>
    <x v="213"/>
    <x v="45"/>
    <n v="153"/>
    <s v="SB-00013490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*12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1"/>
    <n v="0.06"/>
    <x v="31"/>
    <x v="4"/>
    <s v="100 000 ч"/>
  </r>
  <r>
    <x v="1339"/>
    <x v="213"/>
    <x v="45"/>
    <n v="153"/>
    <s v="SB-00013491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*12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1"/>
    <n v="0.06"/>
    <x v="31"/>
    <x v="4"/>
    <s v="100 000 ч"/>
  </r>
  <r>
    <x v="1340"/>
    <x v="214"/>
    <x v="26"/>
    <n v="158"/>
    <s v="SB-00013492"/>
    <s v="К, 20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*24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2"/>
    <n v="0.14000000000000001"/>
    <x v="63"/>
    <x v="4"/>
    <s v="100 000 ч"/>
  </r>
  <r>
    <x v="1341"/>
    <x v="214"/>
    <x v="26"/>
    <n v="158"/>
    <s v="SB-00013493"/>
    <s v="К, 3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*24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2"/>
    <n v="0.14000000000000001"/>
    <x v="63"/>
    <x v="4"/>
    <s v="100 000 ч"/>
  </r>
  <r>
    <x v="1342"/>
    <x v="214"/>
    <x v="26"/>
    <n v="158"/>
    <s v="SB-00013494"/>
    <s v="Г, 65"/>
    <x v="1"/>
    <x v="3"/>
    <x v="2"/>
    <s v="≥0,95"/>
    <s v="Аргос/Трион с защитой от 380В или иной по запросу"/>
    <s v="II"/>
    <s v="ПММА LEDiL "/>
    <s v="&lt;1%"/>
    <x v="2"/>
    <n v="70"/>
    <s v="Osram Duris S8 3*24шт"/>
    <s v="700мА"/>
    <x v="2"/>
    <s v="Литой экструдированный алюминиевый анодированный профиль + крепеж"/>
    <s v="Подвес за 1 точку. Трос в комплекте (1 метр). "/>
    <x v="292"/>
    <n v="0.14000000000000001"/>
    <x v="63"/>
    <x v="4"/>
    <s v="100 000 ч"/>
  </r>
  <r>
    <x v="1343"/>
    <x v="194"/>
    <x v="5"/>
    <n v="151"/>
    <s v="SB-00005287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84 шт"/>
    <s v="117мА"/>
    <x v="2"/>
    <s v="Литой экструдированный алюминиевый анодированный профиль"/>
    <s v="Поворотный кронштейн с хомутом на трубу до 50.8мм"/>
    <x v="54"/>
    <n v="5.3949999999999996E-3"/>
    <x v="16"/>
    <x v="4"/>
    <s v="100 000 ч"/>
  </r>
  <r>
    <x v="1344"/>
    <x v="49"/>
    <x v="6"/>
    <n v="158"/>
    <s v="SB-00007052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Поворотный кронштейн с хомутом на трубу до 50.8мм"/>
    <x v="260"/>
    <n v="5.3949999999999996E-3"/>
    <x v="19"/>
    <x v="4"/>
    <s v="100 000 ч"/>
  </r>
  <r>
    <x v="1345"/>
    <x v="194"/>
    <x v="5"/>
    <n v="151"/>
    <s v="SB-00005288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84 шт"/>
    <s v="117мА"/>
    <x v="2"/>
    <s v="Литой экструдированный алюминиевый анодированный профиль"/>
    <s v="Консоль на трубу до 55мм"/>
    <x v="54"/>
    <n v="7.3039999999999997E-3"/>
    <x v="16"/>
    <x v="4"/>
    <s v="100 000 ч"/>
  </r>
  <r>
    <x v="1346"/>
    <x v="49"/>
    <x v="6"/>
    <n v="158"/>
    <s v="SB-00007053"/>
    <s v="Д, 120"/>
    <x v="1"/>
    <x v="3"/>
    <x v="2"/>
    <s v="≥0,95"/>
    <s v="Аргос/Трион или иной по запросу"/>
    <s v="II"/>
    <s v="Стекло силикатное прозрачное"/>
    <s v="&lt;1%"/>
    <x v="2"/>
    <n v="80"/>
    <s v="Samsung LM281B+ 132 шт"/>
    <s v="117мА"/>
    <x v="2"/>
    <s v="Литой экструдированный алюминиевый анодированный профиль"/>
    <s v="Консоль на трубу до 55мм"/>
    <x v="260"/>
    <n v="7.1609999999999998E-3"/>
    <x v="19"/>
    <x v="4"/>
    <s v="100 000 ч"/>
  </r>
  <r>
    <x v="1347"/>
    <x v="318"/>
    <x v="88"/>
    <n v="130"/>
    <s v="SB-00017607"/>
    <s v="Овал, 95x30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60"/>
    <n v="3.2399999999999998E-3"/>
    <x v="10"/>
    <x v="8"/>
    <s v="100 000 ч"/>
  </r>
  <r>
    <x v="1348"/>
    <x v="318"/>
    <x v="88"/>
    <n v="130"/>
    <s v="SB-00017608"/>
    <s v="Овал, 60x110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60"/>
    <n v="3.2399999999999998E-3"/>
    <x v="10"/>
    <x v="8"/>
    <s v="100 000 ч"/>
  </r>
  <r>
    <x v="1349"/>
    <x v="318"/>
    <x v="88"/>
    <n v="130"/>
    <s v="SB-00017609"/>
    <s v="Асимметричная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60"/>
    <n v="3.2399999999999998E-3"/>
    <x v="10"/>
    <x v="8"/>
    <s v="100 000 ч"/>
  </r>
  <r>
    <x v="1350"/>
    <x v="318"/>
    <x v="88"/>
    <n v="130"/>
    <s v="SB-00017610"/>
    <s v="Двойная асимметричная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60"/>
    <n v="3.2399999999999998E-3"/>
    <x v="10"/>
    <x v="8"/>
    <s v="100 000 ч"/>
  </r>
  <r>
    <x v="1351"/>
    <x v="319"/>
    <x v="88"/>
    <n v="140"/>
    <s v="SB-00017611"/>
    <s v="Д, 120"/>
    <x v="3"/>
    <x v="3"/>
    <x v="2"/>
    <s v="≥0,95"/>
    <s v="Аргос"/>
    <s v="I"/>
    <s v="Матовый рассеиватель (равномерная заливка)"/>
    <s v="&lt;1%"/>
    <x v="2"/>
    <n v="80"/>
    <s v="Samsung"/>
    <s v="175мА"/>
    <x v="3"/>
    <s v="Литой экструдированный алюминиевый анодированный профиль"/>
    <s v="Подвес"/>
    <x v="60"/>
    <n v="3.2399999999999998E-3"/>
    <x v="10"/>
    <x v="8"/>
    <s v="100 000 ч"/>
  </r>
  <r>
    <x v="1352"/>
    <x v="184"/>
    <x v="88"/>
    <n v="144"/>
    <s v="SB-00017612"/>
    <s v="Д, 120"/>
    <x v="3"/>
    <x v="3"/>
    <x v="2"/>
    <s v="≥0,95"/>
    <s v="Аргос"/>
    <s v="I"/>
    <s v="Призматический рассеиватель"/>
    <s v="&lt;1%"/>
    <x v="2"/>
    <n v="80"/>
    <s v="Samsung"/>
    <s v="175мА"/>
    <x v="3"/>
    <s v="Литой экструдированный алюминиевый анодированный профиль"/>
    <s v="Подвес"/>
    <x v="60"/>
    <n v="3.2399999999999998E-3"/>
    <x v="10"/>
    <x v="8"/>
    <s v="100 000 ч"/>
  </r>
  <r>
    <x v="1353"/>
    <x v="320"/>
    <x v="90"/>
    <n v="130"/>
    <s v="SB-00017613"/>
    <s v="Овал, 95x30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61"/>
    <n v="4.3200000000000001E-3"/>
    <x v="52"/>
    <x v="8"/>
    <s v="100 000 ч"/>
  </r>
  <r>
    <x v="1354"/>
    <x v="320"/>
    <x v="90"/>
    <n v="130"/>
    <s v="SB-00017614"/>
    <s v="Овал, 60x110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61"/>
    <n v="4.3200000000000001E-3"/>
    <x v="52"/>
    <x v="8"/>
    <s v="100 000 ч"/>
  </r>
  <r>
    <x v="1355"/>
    <x v="320"/>
    <x v="90"/>
    <n v="130"/>
    <s v="SB-00017615"/>
    <s v="Асимметричная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61"/>
    <n v="4.3200000000000001E-3"/>
    <x v="52"/>
    <x v="8"/>
    <s v="100 000 ч"/>
  </r>
  <r>
    <x v="1356"/>
    <x v="320"/>
    <x v="90"/>
    <n v="130"/>
    <s v="SB-00017616"/>
    <s v="Двойная асимметричная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61"/>
    <n v="4.3200000000000001E-3"/>
    <x v="52"/>
    <x v="8"/>
    <s v="100 000 ч"/>
  </r>
  <r>
    <x v="1357"/>
    <x v="321"/>
    <x v="90"/>
    <n v="140"/>
    <s v="SB-00017617"/>
    <s v="Д, 120"/>
    <x v="3"/>
    <x v="3"/>
    <x v="2"/>
    <s v="≥0,95"/>
    <s v="Аргос"/>
    <s v="I"/>
    <s v="Матовый рассеиватель (равномерная заливка)"/>
    <s v="&lt;1%"/>
    <x v="2"/>
    <n v="80"/>
    <s v="Samsung"/>
    <s v="175мА"/>
    <x v="3"/>
    <s v="Литой экструдированный алюминиевый анодированный профиль"/>
    <s v="Подвес"/>
    <x v="61"/>
    <n v="4.3200000000000001E-3"/>
    <x v="52"/>
    <x v="8"/>
    <s v="100 000 ч"/>
  </r>
  <r>
    <x v="1358"/>
    <x v="322"/>
    <x v="90"/>
    <n v="144"/>
    <s v="SB-00017618"/>
    <s v="Д, 120"/>
    <x v="3"/>
    <x v="3"/>
    <x v="2"/>
    <s v="≥0,95"/>
    <s v="Аргос"/>
    <s v="I"/>
    <s v="Призматический рассеиватель"/>
    <s v="&lt;1%"/>
    <x v="2"/>
    <n v="80"/>
    <s v="Samsung"/>
    <s v="175мА"/>
    <x v="3"/>
    <s v="Литой экструдированный алюминиевый анодированный профиль"/>
    <s v="Подвес"/>
    <x v="61"/>
    <n v="4.3200000000000001E-3"/>
    <x v="52"/>
    <x v="8"/>
    <s v="100 000 ч"/>
  </r>
  <r>
    <x v="1359"/>
    <x v="323"/>
    <x v="127"/>
    <n v="130"/>
    <s v="SB-00017619"/>
    <s v="Овал, 95x30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88"/>
    <n v="5.4000000000000003E-3"/>
    <x v="99"/>
    <x v="8"/>
    <s v="100 000 ч"/>
  </r>
  <r>
    <x v="1360"/>
    <x v="323"/>
    <x v="127"/>
    <n v="130"/>
    <s v="SB-00017620"/>
    <s v="Овал, 60x110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88"/>
    <n v="5.4000000000000003E-3"/>
    <x v="99"/>
    <x v="8"/>
    <s v="100 000 ч"/>
  </r>
  <r>
    <x v="1361"/>
    <x v="323"/>
    <x v="127"/>
    <n v="130"/>
    <s v="SB-00017621"/>
    <s v="Асимметричная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88"/>
    <n v="5.4000000000000003E-3"/>
    <x v="99"/>
    <x v="8"/>
    <s v="100 000 ч"/>
  </r>
  <r>
    <x v="1362"/>
    <x v="323"/>
    <x v="127"/>
    <n v="130"/>
    <s v="SB-00017622"/>
    <s v="Двойная асимметричная"/>
    <x v="3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s v="175мА"/>
    <x v="3"/>
    <s v="Литой экструдированный алюминиевый анодированный профиль"/>
    <s v="Подвес"/>
    <x v="88"/>
    <n v="5.4000000000000003E-3"/>
    <x v="99"/>
    <x v="8"/>
    <s v="100 000 ч"/>
  </r>
  <r>
    <x v="1363"/>
    <x v="324"/>
    <x v="127"/>
    <n v="140"/>
    <s v="SB-00017623"/>
    <s v="Д, 120"/>
    <x v="3"/>
    <x v="3"/>
    <x v="2"/>
    <s v="≥0,95"/>
    <s v="Аргос"/>
    <s v="I"/>
    <s v="Матовый рассеиватель (равномерная заливка)"/>
    <s v="&lt;1%"/>
    <x v="2"/>
    <n v="80"/>
    <s v="Samsung"/>
    <s v="175мА"/>
    <x v="3"/>
    <s v="Литой экструдированный алюминиевый анодированный профиль"/>
    <s v="Подвес"/>
    <x v="88"/>
    <n v="5.4000000000000003E-3"/>
    <x v="99"/>
    <x v="8"/>
    <s v="100 000 ч"/>
  </r>
  <r>
    <x v="1364"/>
    <x v="325"/>
    <x v="127"/>
    <n v="144"/>
    <s v="SB-00017624"/>
    <s v="Д, 120"/>
    <x v="3"/>
    <x v="3"/>
    <x v="2"/>
    <s v="≥0,95"/>
    <s v="Аргос"/>
    <s v="I"/>
    <s v="Призматический рассеиватель"/>
    <s v="&lt;1%"/>
    <x v="2"/>
    <n v="80"/>
    <s v="Samsung"/>
    <s v="175мА"/>
    <x v="3"/>
    <s v="Литой экструдированный алюминиевый анодированный профиль"/>
    <s v="Подвес"/>
    <x v="88"/>
    <n v="5.4000000000000003E-3"/>
    <x v="99"/>
    <x v="8"/>
    <s v="100 000 ч"/>
  </r>
  <r>
    <x v="1365"/>
    <x v="38"/>
    <x v="32"/>
    <n v="146"/>
    <s v="SB-00016777"/>
    <s v="К, 8"/>
    <x v="1"/>
    <x v="2"/>
    <x v="2"/>
    <s v="≥0,95"/>
    <s v="Аргос (с защитой от 380В)"/>
    <s v="II"/>
    <s v="Поликарбонат Turlens, прозрачный компаунд"/>
    <s v="&lt;1%"/>
    <x v="2"/>
    <n v="70"/>
    <s v="Samsung LH351B 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3"/>
    <n v="9.6200000000000001E-3"/>
    <x v="86"/>
    <x v="2"/>
    <s v="100 000 ч"/>
  </r>
  <r>
    <x v="1366"/>
    <x v="38"/>
    <x v="32"/>
    <n v="146"/>
    <s v="SB-00016778"/>
    <s v="К, 15"/>
    <x v="1"/>
    <x v="2"/>
    <x v="2"/>
    <s v="≥0,95"/>
    <s v="Аргос (с защитой от 380В)"/>
    <s v="II"/>
    <s v="Поликарбонат Turlens, прозрачный компаунд"/>
    <s v="&lt;1%"/>
    <x v="2"/>
    <n v="70"/>
    <s v="Samsung LH351B 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3"/>
    <n v="9.6200000000000001E-3"/>
    <x v="86"/>
    <x v="2"/>
    <s v="100 000 ч"/>
  </r>
  <r>
    <x v="1367"/>
    <x v="38"/>
    <x v="32"/>
    <n v="146"/>
    <s v="SB-00016779"/>
    <s v="К, 25"/>
    <x v="1"/>
    <x v="2"/>
    <x v="2"/>
    <s v="≥0,95"/>
    <s v="Аргос (с защитой от 380В)"/>
    <s v="II"/>
    <s v="Поликарбонат Turlens, прозрачный компаунд"/>
    <s v="&lt;1%"/>
    <x v="2"/>
    <n v="70"/>
    <s v="Samsung LH351B 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3"/>
    <n v="9.6200000000000001E-3"/>
    <x v="86"/>
    <x v="2"/>
    <s v="100 000 ч"/>
  </r>
  <r>
    <x v="1368"/>
    <x v="38"/>
    <x v="32"/>
    <n v="146"/>
    <s v="SB-00016780"/>
    <s v="Г, 45"/>
    <x v="1"/>
    <x v="2"/>
    <x v="2"/>
    <s v="≥0,95"/>
    <s v="Аргос (с защитой от 380В)"/>
    <s v="II"/>
    <s v="Поликарбонат Turlens, прозрачный компаунд"/>
    <s v="&lt;1%"/>
    <x v="2"/>
    <n v="70"/>
    <s v="Samsung LH351B 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3"/>
    <n v="9.6200000000000001E-3"/>
    <x v="86"/>
    <x v="2"/>
    <s v="100 000 ч"/>
  </r>
  <r>
    <x v="1369"/>
    <x v="38"/>
    <x v="32"/>
    <n v="146"/>
    <s v="SB-00016781"/>
    <s v="Овал 10x60"/>
    <x v="1"/>
    <x v="2"/>
    <x v="2"/>
    <s v="≥0,95"/>
    <s v="Аргос (с защитой от 380В)"/>
    <s v="II"/>
    <s v="Поликарбонат Turlens, прозрачный компаунд"/>
    <s v="&lt;1%"/>
    <x v="2"/>
    <n v="70"/>
    <s v="Samsung LH351B 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3"/>
    <n v="9.6200000000000001E-3"/>
    <x v="86"/>
    <x v="2"/>
    <s v="100 000 ч"/>
  </r>
  <r>
    <x v="1370"/>
    <x v="39"/>
    <x v="33"/>
    <n v="146"/>
    <s v="SB-00016716"/>
    <s v="К, 8"/>
    <x v="1"/>
    <x v="2"/>
    <x v="2"/>
    <s v="≥0,95"/>
    <s v="Аргос (с защитой от 380В)"/>
    <s v="II"/>
    <s v="Поликарбонат Turlens, прозрачный компаунд"/>
    <s v="&lt;1%"/>
    <x v="2"/>
    <n v="70"/>
    <s v="Samsung LH351B 12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4"/>
    <n v="9.6200000000000001E-3"/>
    <x v="84"/>
    <x v="2"/>
    <s v="100 000 ч"/>
  </r>
  <r>
    <x v="1371"/>
    <x v="39"/>
    <x v="33"/>
    <n v="146"/>
    <s v="SB-00016773"/>
    <s v="К, 15"/>
    <x v="1"/>
    <x v="2"/>
    <x v="2"/>
    <s v="≥0,95"/>
    <s v="Аргос (с защитой от 380В)"/>
    <s v="II"/>
    <s v="Поликарбонат Turlens, прозрачный компаунд"/>
    <s v="&lt;1%"/>
    <x v="2"/>
    <n v="70"/>
    <s v="Samsung LH351B 12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4"/>
    <n v="9.6200000000000001E-3"/>
    <x v="84"/>
    <x v="2"/>
    <s v="100 000 ч"/>
  </r>
  <r>
    <x v="1372"/>
    <x v="39"/>
    <x v="33"/>
    <n v="146"/>
    <s v="SB-00016774"/>
    <s v="К, 25"/>
    <x v="1"/>
    <x v="2"/>
    <x v="2"/>
    <s v="≥0,95"/>
    <s v="Аргос (с защитой от 380В)"/>
    <s v="II"/>
    <s v="Поликарбонат Turlens, прозрачный компаунд"/>
    <s v="&lt;1%"/>
    <x v="2"/>
    <n v="70"/>
    <s v="Samsung LH351B 12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4"/>
    <n v="9.6200000000000001E-3"/>
    <x v="84"/>
    <x v="2"/>
    <s v="100 000 ч"/>
  </r>
  <r>
    <x v="1373"/>
    <x v="39"/>
    <x v="33"/>
    <n v="146"/>
    <s v="SB-00016775"/>
    <s v="Г, 45"/>
    <x v="1"/>
    <x v="2"/>
    <x v="2"/>
    <s v="≥0,95"/>
    <s v="Аргос (с защитой от 380В)"/>
    <s v="II"/>
    <s v="Поликарбонат Turlens, прозрачный компаунд"/>
    <s v="&lt;1%"/>
    <x v="2"/>
    <n v="70"/>
    <s v="Samsung LH351B 12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4"/>
    <n v="9.6200000000000001E-3"/>
    <x v="84"/>
    <x v="2"/>
    <s v="100 000 ч"/>
  </r>
  <r>
    <x v="1374"/>
    <x v="39"/>
    <x v="33"/>
    <n v="146"/>
    <s v="SB-00016776"/>
    <s v="Овал 10x60"/>
    <x v="1"/>
    <x v="2"/>
    <x v="2"/>
    <s v="≥0,95"/>
    <s v="Аргос (с защитой от 380В)"/>
    <s v="II"/>
    <s v="Поликарбонат Turlens, прозрачный компаунд"/>
    <s v="&lt;1%"/>
    <x v="2"/>
    <n v="70"/>
    <s v="Samsung LH351B 12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4"/>
    <n v="9.6200000000000001E-3"/>
    <x v="84"/>
    <x v="2"/>
    <s v="100 000 ч"/>
  </r>
  <r>
    <x v="1375"/>
    <x v="40"/>
    <x v="95"/>
    <n v="146"/>
    <s v="SB-00009178"/>
    <s v="Д, 120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5"/>
    <n v="9.6200000000000001E-3"/>
    <x v="11"/>
    <x v="2"/>
    <s v="100 000 ч"/>
  </r>
  <r>
    <x v="1376"/>
    <x v="40"/>
    <x v="95"/>
    <n v="146"/>
    <s v="SB-00016718"/>
    <s v="К, 8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5"/>
    <n v="9.6200000000000001E-3"/>
    <x v="11"/>
    <x v="2"/>
    <s v="100 000 ч"/>
  </r>
  <r>
    <x v="1377"/>
    <x v="40"/>
    <x v="95"/>
    <n v="146"/>
    <s v="SB-00006456"/>
    <s v="К, 1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5"/>
    <n v="9.6200000000000001E-3"/>
    <x v="11"/>
    <x v="2"/>
    <s v="100 000 ч"/>
  </r>
  <r>
    <x v="1378"/>
    <x v="40"/>
    <x v="95"/>
    <n v="146"/>
    <s v="SB-00006460"/>
    <s v="К, 2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5"/>
    <n v="9.6200000000000001E-3"/>
    <x v="11"/>
    <x v="2"/>
    <s v="100 000 ч"/>
  </r>
  <r>
    <x v="1379"/>
    <x v="40"/>
    <x v="95"/>
    <n v="146"/>
    <s v="SB-00006464"/>
    <s v="Г, 4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5"/>
    <n v="9.6200000000000001E-3"/>
    <x v="11"/>
    <x v="2"/>
    <s v="100 000 ч"/>
  </r>
  <r>
    <x v="1380"/>
    <x v="40"/>
    <x v="95"/>
    <n v="146"/>
    <s v="SB-00006468"/>
    <s v="Овал 10x60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1шт."/>
    <x v="295"/>
    <n v="9.6200000000000001E-3"/>
    <x v="11"/>
    <x v="2"/>
    <s v="100 000 ч"/>
  </r>
  <r>
    <x v="1381"/>
    <x v="41"/>
    <x v="106"/>
    <n v="144"/>
    <s v="SB-00009177"/>
    <s v="Д, 120"/>
    <x v="1"/>
    <x v="3"/>
    <x v="2"/>
    <s v="≥0,95"/>
    <s v="Аргос (с защитой от 380В)"/>
    <s v="II"/>
    <s v="Поликарбонат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6"/>
    <n v="1.3520000000000001E-2"/>
    <x v="43"/>
    <x v="2"/>
    <s v="100 000 ч"/>
  </r>
  <r>
    <x v="1382"/>
    <x v="41"/>
    <x v="106"/>
    <n v="144"/>
    <s v="SB-00016719"/>
    <s v="К, 8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6"/>
    <n v="1.3520000000000001E-2"/>
    <x v="43"/>
    <x v="2"/>
    <s v="100 000 ч"/>
  </r>
  <r>
    <x v="1383"/>
    <x v="41"/>
    <x v="106"/>
    <n v="144"/>
    <s v="SB-00006457"/>
    <s v="К, 1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6"/>
    <n v="1.3520000000000001E-2"/>
    <x v="43"/>
    <x v="2"/>
    <s v="100 000 ч"/>
  </r>
  <r>
    <x v="1384"/>
    <x v="41"/>
    <x v="106"/>
    <n v="144"/>
    <s v="SB-00006461"/>
    <s v="К, 2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6"/>
    <n v="1.3520000000000001E-2"/>
    <x v="43"/>
    <x v="2"/>
    <s v="100 000 ч"/>
  </r>
  <r>
    <x v="1385"/>
    <x v="41"/>
    <x v="106"/>
    <n v="144"/>
    <s v="SB-00006465"/>
    <s v="Г, 4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6"/>
    <n v="1.3520000000000001E-2"/>
    <x v="43"/>
    <x v="2"/>
    <s v="100 000 ч"/>
  </r>
  <r>
    <x v="1386"/>
    <x v="41"/>
    <x v="106"/>
    <n v="144"/>
    <s v="SB-00006469"/>
    <s v="Овал 10x60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6"/>
    <n v="1.3520000000000001E-2"/>
    <x v="43"/>
    <x v="2"/>
    <s v="100 000 ч"/>
  </r>
  <r>
    <x v="1387"/>
    <x v="42"/>
    <x v="63"/>
    <n v="141"/>
    <s v="SB-00009176"/>
    <s v="Д, 120"/>
    <x v="1"/>
    <x v="3"/>
    <x v="2"/>
    <s v="≥0,95"/>
    <s v="Аргос (с защитой от 380В)"/>
    <s v="II"/>
    <s v="Поликарбонат, прозрачный компаунд"/>
    <s v="&lt;1%"/>
    <x v="2"/>
    <n v="70"/>
    <s v="Samsung LH351B 48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77"/>
    <n v="1.7420000000000001E-2"/>
    <x v="22"/>
    <x v="2"/>
    <s v="100 000 ч"/>
  </r>
  <r>
    <x v="1388"/>
    <x v="42"/>
    <x v="63"/>
    <n v="141"/>
    <s v="SB-00016720"/>
    <s v="К, 8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48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77"/>
    <n v="1.7420000000000001E-2"/>
    <x v="22"/>
    <x v="2"/>
    <s v="100 000 ч"/>
  </r>
  <r>
    <x v="1389"/>
    <x v="42"/>
    <x v="63"/>
    <n v="141"/>
    <s v="SB-00006458"/>
    <s v="К, 1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48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77"/>
    <n v="1.7420000000000001E-2"/>
    <x v="22"/>
    <x v="2"/>
    <s v="100 000 ч"/>
  </r>
  <r>
    <x v="1390"/>
    <x v="42"/>
    <x v="63"/>
    <n v="141"/>
    <s v="SB-00006462"/>
    <s v="К, 2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48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77"/>
    <n v="1.7420000000000001E-2"/>
    <x v="22"/>
    <x v="2"/>
    <s v="100 000 ч"/>
  </r>
  <r>
    <x v="1391"/>
    <x v="42"/>
    <x v="63"/>
    <n v="141"/>
    <s v="SB-00006466"/>
    <s v="Г, 4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48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77"/>
    <n v="1.7420000000000001E-2"/>
    <x v="22"/>
    <x v="2"/>
    <s v="100 000 ч"/>
  </r>
  <r>
    <x v="1392"/>
    <x v="42"/>
    <x v="63"/>
    <n v="141"/>
    <s v="SB-00006470"/>
    <s v="Овал 10x60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48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77"/>
    <n v="1.7420000000000001E-2"/>
    <x v="22"/>
    <x v="2"/>
    <s v="100 000 ч"/>
  </r>
  <r>
    <x v="1393"/>
    <x v="43"/>
    <x v="128"/>
    <n v="141"/>
    <s v="SB-00009175"/>
    <s v="Д, 120"/>
    <x v="1"/>
    <x v="3"/>
    <x v="2"/>
    <s v="≥0,95"/>
    <s v="Аргос (с защитой от 380В)"/>
    <s v="II"/>
    <s v="Поликарбонат, прозрачный компаунд"/>
    <s v="&lt;1%"/>
    <x v="2"/>
    <n v="70"/>
    <s v="Samsung LH351B 60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7"/>
    <n v="2.1190000000000001E-2"/>
    <x v="24"/>
    <x v="2"/>
    <s v="100 000 ч"/>
  </r>
  <r>
    <x v="1394"/>
    <x v="43"/>
    <x v="128"/>
    <n v="141"/>
    <s v="SB-00016721"/>
    <s v="К, 8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60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7"/>
    <n v="2.1190000000000001E-2"/>
    <x v="24"/>
    <x v="2"/>
    <s v="100 000 ч"/>
  </r>
  <r>
    <x v="1395"/>
    <x v="43"/>
    <x v="128"/>
    <n v="141"/>
    <s v="SB-00006459"/>
    <s v="К, 1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60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7"/>
    <n v="2.1190000000000001E-2"/>
    <x v="24"/>
    <x v="2"/>
    <s v="100 000 ч"/>
  </r>
  <r>
    <x v="1396"/>
    <x v="43"/>
    <x v="128"/>
    <n v="141"/>
    <s v="SB-00006463"/>
    <s v="К, 2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60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7"/>
    <n v="2.1190000000000001E-2"/>
    <x v="24"/>
    <x v="2"/>
    <s v="100 000 ч"/>
  </r>
  <r>
    <x v="1397"/>
    <x v="43"/>
    <x v="128"/>
    <n v="141"/>
    <s v="SB-00006467"/>
    <s v="Г, 45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60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7"/>
    <n v="2.1190000000000001E-2"/>
    <x v="24"/>
    <x v="2"/>
    <s v="100 000 ч"/>
  </r>
  <r>
    <x v="1398"/>
    <x v="43"/>
    <x v="128"/>
    <n v="141"/>
    <s v="SB-00006471"/>
    <s v="Овал 10x60"/>
    <x v="1"/>
    <x v="3"/>
    <x v="2"/>
    <s v="≥0,95"/>
    <s v="Аргос (с защитой от 380В)"/>
    <s v="II"/>
    <s v="Поликарбонат Turlens, прозрачный компаунд"/>
    <s v="&lt;1%"/>
    <x v="2"/>
    <n v="70"/>
    <s v="Samsung LH351B 60шт"/>
    <s v="350мА"/>
    <x v="1"/>
    <s v="Литой экструдированный алюминиевый анодированный профиль. Диоды залиты защитным компаундом."/>
    <s v="Универсальный поворотный кронштейн 2шт."/>
    <x v="297"/>
    <n v="2.1190000000000001E-2"/>
    <x v="24"/>
    <x v="2"/>
    <s v="100 000 ч"/>
  </r>
  <r>
    <x v="1399"/>
    <x v="117"/>
    <x v="35"/>
    <n v="130"/>
    <s v="SB-00007845"/>
    <s v="Д, 120"/>
    <x v="1"/>
    <x v="2"/>
    <x v="2"/>
    <s v="≥0,95"/>
    <s v="Аргос/Трион или иной по запросу"/>
    <s v="II"/>
    <s v="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 защитным компаундом **"/>
    <s v="Поворотный кронштейн 2шт."/>
    <x v="298"/>
    <n v="1.3273874999999999E-2"/>
    <x v="44"/>
    <x v="2"/>
    <s v="100 000 ч"/>
  </r>
  <r>
    <x v="1400"/>
    <x v="117"/>
    <x v="35"/>
    <n v="130"/>
    <s v="SB-00007846"/>
    <s v="К, 15"/>
    <x v="1"/>
    <x v="2"/>
    <x v="2"/>
    <s v="≥0,95"/>
    <s v="Аргос/Трион или иной по запросу"/>
    <s v="II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 защитным компаундом **"/>
    <s v="Поворотный кронштейн 2шт."/>
    <x v="298"/>
    <n v="1.3273874999999999E-2"/>
    <x v="44"/>
    <x v="2"/>
    <s v="100 000 ч"/>
  </r>
  <r>
    <x v="1401"/>
    <x v="117"/>
    <x v="35"/>
    <n v="130"/>
    <s v="SB-00007847"/>
    <s v="К, 25"/>
    <x v="1"/>
    <x v="2"/>
    <x v="2"/>
    <s v="≥0,95"/>
    <s v="Аргос/Трион или иной по запросу"/>
    <s v="II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 защитным компаундом **"/>
    <s v="Поворотный кронштейн 2шт."/>
    <x v="298"/>
    <n v="1.3273874999999999E-2"/>
    <x v="44"/>
    <x v="2"/>
    <s v="100 000 ч"/>
  </r>
  <r>
    <x v="1402"/>
    <x v="117"/>
    <x v="35"/>
    <n v="130"/>
    <s v="SB-00007848"/>
    <s v="Г, 45"/>
    <x v="1"/>
    <x v="2"/>
    <x v="2"/>
    <s v="≥0,95"/>
    <s v="Аргос/Трион или иной по запросу"/>
    <s v="II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 защитным компаундом **"/>
    <s v="Поворотный кронштейн 2шт."/>
    <x v="298"/>
    <n v="1.3273874999999999E-2"/>
    <x v="44"/>
    <x v="2"/>
    <s v="100 000 ч"/>
  </r>
  <r>
    <x v="1403"/>
    <x v="117"/>
    <x v="35"/>
    <n v="130"/>
    <s v="SB-00007849"/>
    <s v="Овал 10x60"/>
    <x v="1"/>
    <x v="2"/>
    <x v="2"/>
    <s v="≥0,95"/>
    <s v="Аргос/Трион или иной по запросу"/>
    <s v="II"/>
    <s v="Поликарбонат Turlens, прозрачный компаунд"/>
    <s v="&lt;1%"/>
    <x v="2"/>
    <n v="70"/>
    <s v="Samsung LH351B 36шт"/>
    <s v="350мА"/>
    <x v="1"/>
    <s v="Литой экструдированный алюминиевый анодированный профиль. Диоды залиты  защитным компаундом **"/>
    <s v="Поворотный кронштейн 2шт."/>
    <x v="298"/>
    <n v="1.3273874999999999E-2"/>
    <x v="44"/>
    <x v="2"/>
    <s v="100 000 ч"/>
  </r>
  <r>
    <x v="1404"/>
    <x v="69"/>
    <x v="34"/>
    <n v="130"/>
    <s v="SB-00007850"/>
    <s v="Д, 120"/>
    <x v="1"/>
    <x v="2"/>
    <x v="2"/>
    <s v="≥0,95"/>
    <s v="Аргос/Трион или иной по запросу"/>
    <s v="II"/>
    <s v="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 защитным компаундом **"/>
    <s v="Поворотный кронштейн 2шт."/>
    <x v="299"/>
    <n v="1.3273874999999999E-2"/>
    <x v="44"/>
    <x v="2"/>
    <s v="100 000 ч"/>
  </r>
  <r>
    <x v="1405"/>
    <x v="69"/>
    <x v="34"/>
    <n v="130"/>
    <s v="SB-00007851"/>
    <s v="К, 15"/>
    <x v="1"/>
    <x v="2"/>
    <x v="2"/>
    <s v="≥0,95"/>
    <s v="Аргос/Трион или иной по запросу"/>
    <s v="I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 защитным компаундом **"/>
    <s v="Поворотный кронштейн 2шт."/>
    <x v="299"/>
    <n v="1.3273874999999999E-2"/>
    <x v="44"/>
    <x v="2"/>
    <s v="100 000 ч"/>
  </r>
  <r>
    <x v="1406"/>
    <x v="69"/>
    <x v="34"/>
    <n v="130"/>
    <s v="SB-00007852"/>
    <s v="К, 25"/>
    <x v="1"/>
    <x v="2"/>
    <x v="2"/>
    <s v="≥0,95"/>
    <s v="Аргос/Трион или иной по запросу"/>
    <s v="I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 защитным компаундом **"/>
    <s v="Поворотный кронштейн 2шт."/>
    <x v="299"/>
    <n v="1.3273874999999999E-2"/>
    <x v="44"/>
    <x v="2"/>
    <s v="100 000 ч"/>
  </r>
  <r>
    <x v="1407"/>
    <x v="69"/>
    <x v="34"/>
    <n v="130"/>
    <s v="SB-00007853"/>
    <s v="Г, 45"/>
    <x v="1"/>
    <x v="2"/>
    <x v="2"/>
    <s v="≥0,95"/>
    <s v="Аргос/Трион или иной по запросу"/>
    <s v="I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 защитным компаундом **"/>
    <s v="Поворотный кронштейн 2шт."/>
    <x v="299"/>
    <n v="1.3273874999999999E-2"/>
    <x v="44"/>
    <x v="2"/>
    <s v="100 000 ч"/>
  </r>
  <r>
    <x v="1408"/>
    <x v="69"/>
    <x v="34"/>
    <n v="130"/>
    <s v="SB-00007854"/>
    <s v="Овал 10x60"/>
    <x v="1"/>
    <x v="2"/>
    <x v="2"/>
    <s v="≥0,95"/>
    <s v="Аргос/Трион или иной по запросу"/>
    <s v="II"/>
    <s v="Поликарбонат Turlens, прозрачный компаунд"/>
    <s v="&lt;1%"/>
    <x v="2"/>
    <n v="70"/>
    <s v="Samsung LH351B 24шт"/>
    <s v="350мА"/>
    <x v="1"/>
    <s v="Литой экструдированный алюминиевый анодированный профиль. Диоды залиты  защитным компаундом **"/>
    <s v="Поворотный кронштейн 2шт."/>
    <x v="299"/>
    <n v="1.3273874999999999E-2"/>
    <x v="44"/>
    <x v="2"/>
    <s v="100 000 ч"/>
  </r>
  <r>
    <x v="1409"/>
    <x v="288"/>
    <x v="112"/>
    <n v="133"/>
    <s v="SB-00009120"/>
    <s v="К, 25"/>
    <x v="1"/>
    <x v="3"/>
    <x v="2"/>
    <n v="0.57999999999999996"/>
    <s v="MeanWell"/>
    <s v="II"/>
    <s v="ПММА LEDiL "/>
    <s v="&lt;5%"/>
    <x v="17"/>
    <n v="80"/>
    <s v="Osram 5050 4шт"/>
    <s v="350мА"/>
    <x v="1"/>
    <s v="Формованный листовой алюминий с порошковой окраской"/>
    <s v="Поворотный кронштейн"/>
    <x v="300"/>
    <n v="0.01"/>
    <x v="85"/>
    <x v="2"/>
    <s v="100 000 ч"/>
  </r>
  <r>
    <x v="1410"/>
    <x v="288"/>
    <x v="112"/>
    <n v="133"/>
    <s v="SB-00009121"/>
    <s v="Г, 65"/>
    <x v="1"/>
    <x v="3"/>
    <x v="2"/>
    <n v="0.57999999999999996"/>
    <s v="MeanWell"/>
    <s v="II"/>
    <s v="ПММА LEDiL "/>
    <s v="&lt;5%"/>
    <x v="17"/>
    <n v="80"/>
    <s v="Osram 5050 4шт"/>
    <s v="350мА"/>
    <x v="1"/>
    <s v="Формованный листовой алюминий с порошковой окраской"/>
    <s v="Поворотный кронштейн"/>
    <x v="300"/>
    <n v="0.01"/>
    <x v="85"/>
    <x v="2"/>
    <s v="100 000 ч"/>
  </r>
  <r>
    <x v="1411"/>
    <x v="127"/>
    <x v="41"/>
    <n v="133"/>
    <s v="SB-00009122"/>
    <s v="Два луча К, 25"/>
    <x v="1"/>
    <x v="3"/>
    <x v="2"/>
    <n v="0.57999999999999996"/>
    <s v="MeanWell"/>
    <s v="II"/>
    <s v="ПММА LEDiL "/>
    <s v="&lt;5%"/>
    <x v="17"/>
    <n v="80"/>
    <s v="Osram 5050 8шт"/>
    <s v="175mA"/>
    <x v="1"/>
    <s v="Формованный листовой алюминий с порошковой окраской"/>
    <s v="Поворотный кронштейн"/>
    <x v="300"/>
    <n v="0.01"/>
    <x v="85"/>
    <x v="2"/>
    <s v="100 000 ч"/>
  </r>
  <r>
    <x v="1412"/>
    <x v="127"/>
    <x v="41"/>
    <n v="133"/>
    <s v="SB-00009123"/>
    <s v="Два луча Г, 65"/>
    <x v="1"/>
    <x v="3"/>
    <x v="2"/>
    <n v="0.57999999999999996"/>
    <s v="MeanWell"/>
    <s v="II"/>
    <s v="ПММА LEDiL "/>
    <s v="&lt;5%"/>
    <x v="17"/>
    <n v="80"/>
    <s v="Osram 5050 8шт"/>
    <s v="175mA"/>
    <x v="1"/>
    <s v="Формованный листовой алюминий с порошковой окраской"/>
    <s v="Поворотный кронштейн"/>
    <x v="300"/>
    <n v="0.01"/>
    <x v="85"/>
    <x v="2"/>
    <s v="100 000 ч"/>
  </r>
  <r>
    <x v="1413"/>
    <x v="288"/>
    <x v="112"/>
    <n v="133"/>
    <s v="SB-00009124"/>
    <s v="Два луча К, 25"/>
    <x v="1"/>
    <x v="3"/>
    <x v="2"/>
    <n v="0.57999999999999996"/>
    <s v="MeanWell"/>
    <s v="II"/>
    <s v="ПММА LEDiL "/>
    <s v="&lt;5%"/>
    <x v="17"/>
    <n v="80"/>
    <s v="Osram 5050 8шт"/>
    <s v="175mA"/>
    <x v="1"/>
    <s v="Формованный листовой алюминий с порошковой окраской"/>
    <s v="Поворотный кронштейн"/>
    <x v="300"/>
    <n v="0.01"/>
    <x v="85"/>
    <x v="2"/>
    <s v="100 000 ч"/>
  </r>
  <r>
    <x v="1414"/>
    <x v="288"/>
    <x v="112"/>
    <n v="133"/>
    <s v="SB-00009125"/>
    <s v="Два луча Г, 65"/>
    <x v="1"/>
    <x v="3"/>
    <x v="2"/>
    <n v="0.57999999999999996"/>
    <s v="MeanWell"/>
    <s v="II"/>
    <s v="ПММА LEDiL "/>
    <s v="&lt;5%"/>
    <x v="17"/>
    <n v="80"/>
    <s v="Osram 5050 8шт"/>
    <s v="175mA"/>
    <x v="1"/>
    <s v="Формованный листовой алюминий с порошковой окраской"/>
    <s v="Поворотный кронштейн"/>
    <x v="300"/>
    <n v="0.01"/>
    <x v="85"/>
    <x v="2"/>
    <s v="100 000 ч"/>
  </r>
  <r>
    <x v="1415"/>
    <x v="33"/>
    <x v="33"/>
    <n v="120"/>
    <s v="SB-00004422"/>
    <s v="Д, 120"/>
    <x v="5"/>
    <x v="3"/>
    <x v="2"/>
    <s v="-"/>
    <s v="MeanWell"/>
    <s v="II"/>
    <s v="Прозрачный поликарбонат"/>
    <s v="&lt;1%"/>
    <x v="2"/>
    <n v="80"/>
    <s v="Samsung LM281B+ 25шт"/>
    <s v="140мА"/>
    <x v="1"/>
    <s v="Литой экструдированный алюминиевый анодированный профиль"/>
    <s v="Поворотный кронштейн 2шт."/>
    <x v="294"/>
    <n v="5.4599999999999996E-3"/>
    <x v="16"/>
    <x v="2"/>
    <s v="100 000 ч"/>
  </r>
  <r>
    <x v="1416"/>
    <x v="34"/>
    <x v="34"/>
    <n v="120"/>
    <s v="SB-00004423"/>
    <s v="Д, 120"/>
    <x v="5"/>
    <x v="3"/>
    <x v="2"/>
    <s v="≥0,95"/>
    <s v="Аргос/Трион с защитой от 380В или иной по запросу"/>
    <s v="I"/>
    <s v="Прозрачный поликарбонат"/>
    <s v="&lt;1%"/>
    <x v="2"/>
    <n v="80"/>
    <s v="Samsung LM281B+ 50шт"/>
    <s v="140мА"/>
    <x v="1"/>
    <s v="Литой экструдированный алюминиевый анодированный профиль"/>
    <s v="Поворотный кронштейн 2шт."/>
    <x v="295"/>
    <n v="9.5549999999999993E-3"/>
    <x v="11"/>
    <x v="2"/>
    <s v="100 000 ч"/>
  </r>
  <r>
    <x v="1417"/>
    <x v="35"/>
    <x v="35"/>
    <n v="120"/>
    <s v="SB-00004424"/>
    <s v="Д, 120"/>
    <x v="5"/>
    <x v="3"/>
    <x v="2"/>
    <s v="≥0,95"/>
    <s v="Аргос/Трион с защитой от 380В или иной по запросу"/>
    <s v="I"/>
    <s v="Прозрачный поликарбонат"/>
    <s v="&lt;1%"/>
    <x v="2"/>
    <n v="80"/>
    <s v="Samsung LM281B+ 75шт"/>
    <s v="140мА"/>
    <x v="1"/>
    <s v="Литой экструдированный алюминиевый анодированный профиль"/>
    <s v="Поворотный кронштейн 2шт."/>
    <x v="296"/>
    <n v="1.3520000000000001E-2"/>
    <x v="43"/>
    <x v="2"/>
    <s v="100 000 ч"/>
  </r>
  <r>
    <x v="1418"/>
    <x v="36"/>
    <x v="36"/>
    <n v="120"/>
    <s v="SB-00004420"/>
    <s v="Д, 120"/>
    <x v="5"/>
    <x v="3"/>
    <x v="2"/>
    <s v="≥0,95"/>
    <s v="Аргос/Трион с защитой от 380В или иной по запросу"/>
    <s v="I"/>
    <s v="Прозрачный поликарбонат"/>
    <s v="&lt;1%"/>
    <x v="2"/>
    <n v="80"/>
    <s v="Samsung LM281B+ 100шт"/>
    <s v="140мА"/>
    <x v="1"/>
    <s v="Литой экструдированный алюминиевый анодированный профиль"/>
    <s v="Поворотный кронштейн 2шт."/>
    <x v="277"/>
    <n v="1.7420000000000001E-2"/>
    <x v="22"/>
    <x v="2"/>
    <s v="100 000 ч"/>
  </r>
  <r>
    <x v="1419"/>
    <x v="37"/>
    <x v="37"/>
    <n v="120"/>
    <s v="SB-00004421"/>
    <s v="Д, 120"/>
    <x v="5"/>
    <x v="3"/>
    <x v="2"/>
    <s v="≥0,95"/>
    <s v="Аргос/Трион с защитой от 380В или иной по запросу"/>
    <s v="I"/>
    <s v="Прозрачный поликарбонат"/>
    <s v="&lt;1%"/>
    <x v="2"/>
    <n v="80"/>
    <s v="Samsung LM281B+ 168шт"/>
    <s v="117мА"/>
    <x v="1"/>
    <s v="Литой экструдированный алюминиевый анодированный профиль"/>
    <s v="Поворотный кронштейн 2шт."/>
    <x v="297"/>
    <n v="2.0130499999999999E-2"/>
    <x v="24"/>
    <x v="2"/>
    <s v="100 000 ч"/>
  </r>
  <r>
    <x v="1420"/>
    <x v="326"/>
    <x v="106"/>
    <n v="128"/>
    <m/>
    <s v="Овал, 95x30"/>
    <x v="6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21"/>
    <x v="326"/>
    <x v="106"/>
    <n v="128"/>
    <m/>
    <s v="Овал, 60x110"/>
    <x v="6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22"/>
    <x v="326"/>
    <x v="106"/>
    <n v="128"/>
    <m/>
    <s v="Асимметричная"/>
    <x v="6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23"/>
    <x v="326"/>
    <x v="106"/>
    <n v="128"/>
    <m/>
    <s v="Двойная асимметричная"/>
    <x v="6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24"/>
    <x v="327"/>
    <x v="106"/>
    <n v="135"/>
    <m/>
    <s v="Д, 120"/>
    <x v="6"/>
    <x v="3"/>
    <x v="2"/>
    <s v="≥0,95"/>
    <s v="Аргос"/>
    <s v="I"/>
    <s v="Матовый рассеиватель (равномерная заливка)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25"/>
    <x v="327"/>
    <x v="106"/>
    <n v="135"/>
    <m/>
    <s v="Д, 120"/>
    <x v="6"/>
    <x v="3"/>
    <x v="2"/>
    <s v="≥0,95"/>
    <s v="Аргос"/>
    <s v="I"/>
    <s v="Призматический рассеиватель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26"/>
    <x v="328"/>
    <x v="110"/>
    <n v="122"/>
    <m/>
    <s v="Овал, 95x30"/>
    <x v="6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27"/>
    <x v="328"/>
    <x v="110"/>
    <n v="122"/>
    <m/>
    <s v="Овал, 60x110"/>
    <x v="6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28"/>
    <x v="328"/>
    <x v="110"/>
    <n v="122"/>
    <m/>
    <s v="Асимметричная"/>
    <x v="6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29"/>
    <x v="328"/>
    <x v="110"/>
    <n v="122"/>
    <m/>
    <s v="Двойная асимметричная"/>
    <x v="6"/>
    <x v="3"/>
    <x v="2"/>
    <s v="≥0,95"/>
    <s v="Аргос"/>
    <s v="I"/>
    <s v="Стекло силикатное прозрачное + дополнительная оптика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30"/>
    <x v="329"/>
    <x v="110"/>
    <n v="130"/>
    <m/>
    <s v="Д, 120"/>
    <x v="6"/>
    <x v="3"/>
    <x v="2"/>
    <s v="≥0,95"/>
    <s v="Аргос"/>
    <s v="I"/>
    <s v="Матовый рассеиватель (равномерная заливка)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31"/>
    <x v="329"/>
    <x v="110"/>
    <n v="130"/>
    <m/>
    <s v="Д, 120"/>
    <x v="6"/>
    <x v="3"/>
    <x v="2"/>
    <s v="≥0,95"/>
    <s v="Аргос"/>
    <s v="I"/>
    <s v="Призматический рассеиватель"/>
    <s v="&lt;1%"/>
    <x v="2"/>
    <n v="80"/>
    <s v="Samsung"/>
    <m/>
    <x v="3"/>
    <s v="Литой экструдированный алюминиевый анодированный профиль"/>
    <s v="На шинопровод"/>
    <x v="59"/>
    <n v="2E-3"/>
    <x v="33"/>
    <x v="8"/>
    <s v="100 000 ч"/>
  </r>
  <r>
    <x v="1432"/>
    <x v="330"/>
    <x v="44"/>
    <n v="110"/>
    <s v="SB-00007516"/>
    <s v="Д, 120"/>
    <x v="2"/>
    <x v="2"/>
    <x v="4"/>
    <s v="-"/>
    <s v="SVT"/>
    <s v="III"/>
    <s v="Стекло силикатное прозрачное"/>
    <s v="&lt;5%"/>
    <x v="2"/>
    <n v="80"/>
    <s v="Samsung LM281B+ 18шт"/>
    <s v="150мА"/>
    <x v="1"/>
    <s v="Литой экструдированный алюминиевый анодированный профиль"/>
    <s v="Поворотный кронштейн 1шт"/>
    <x v="294"/>
    <n v="5.4599999999999996E-3"/>
    <x v="16"/>
    <x v="2"/>
    <s v="100 000 ч"/>
  </r>
  <r>
    <x v="1433"/>
    <x v="330"/>
    <x v="44"/>
    <n v="110"/>
    <s v="SB-00007517"/>
    <s v="Д, 120"/>
    <x v="2"/>
    <x v="2"/>
    <x v="5"/>
    <s v="-"/>
    <s v="SVT"/>
    <s v="III"/>
    <s v="Прозрачный поликарбонат"/>
    <s v="&lt;5%"/>
    <x v="2"/>
    <n v="80"/>
    <s v="Samsung LM281B+ 18шт"/>
    <s v="150мА"/>
    <x v="1"/>
    <s v="Литой экструдированный алюминиевый анодированный профиль"/>
    <s v="Поворотный кронштейн 1шт"/>
    <x v="294"/>
    <n v="5.4599999999999996E-3"/>
    <x v="16"/>
    <x v="2"/>
    <s v="100 000 ч"/>
  </r>
  <r>
    <x v="1434"/>
    <x v="330"/>
    <x v="44"/>
    <n v="110"/>
    <s v="SB-00007518"/>
    <s v="Д, 120"/>
    <x v="2"/>
    <x v="2"/>
    <x v="6"/>
    <s v="-"/>
    <s v="SVT"/>
    <s v="III"/>
    <s v="Прозрачный поликарбонат"/>
    <s v="&lt;5%"/>
    <x v="2"/>
    <n v="80"/>
    <s v="Samsung LM281B+ 18шт"/>
    <s v="150мА"/>
    <x v="1"/>
    <s v="Литой экструдированный алюминиевый анодированный профиль"/>
    <s v="Поворотный кронштейн 1шт"/>
    <x v="294"/>
    <n v="5.4599999999999996E-3"/>
    <x v="16"/>
    <x v="2"/>
    <s v="100 000 ч"/>
  </r>
  <r>
    <x v="1435"/>
    <x v="330"/>
    <x v="44"/>
    <n v="110"/>
    <s v="SB-00007519"/>
    <s v="Д, 120"/>
    <x v="2"/>
    <x v="2"/>
    <x v="7"/>
    <s v="-"/>
    <s v="SVT"/>
    <s v="III"/>
    <s v="Прозрачный поликарбонат"/>
    <s v="&lt;5%"/>
    <x v="2"/>
    <n v="80"/>
    <s v="Samsung LM281B+ 18шт"/>
    <s v="150мА"/>
    <x v="1"/>
    <s v="Литой экструдированный алюминиевый анодированный профиль"/>
    <s v="Поворотный кронштейн 1шт"/>
    <x v="294"/>
    <n v="5.4599999999999996E-3"/>
    <x v="16"/>
    <x v="2"/>
    <s v="100 000 ч"/>
  </r>
  <r>
    <x v="1436"/>
    <x v="330"/>
    <x v="44"/>
    <n v="110"/>
    <s v="SB-00007520"/>
    <s v="Д, 120"/>
    <x v="2"/>
    <x v="2"/>
    <x v="8"/>
    <s v="-"/>
    <s v="SVT"/>
    <s v="III"/>
    <s v="Прозрачный поликарбонат"/>
    <s v="&lt;5%"/>
    <x v="2"/>
    <n v="80"/>
    <s v="Samsung LM281B+ 18шт"/>
    <s v="150мА"/>
    <x v="1"/>
    <s v="Литой экструдированный алюминиевый анодированный профиль"/>
    <s v="Поворотный кронштейн 1шт"/>
    <x v="294"/>
    <n v="5.4599999999999996E-3"/>
    <x v="16"/>
    <x v="2"/>
    <s v="100 000 ч"/>
  </r>
  <r>
    <x v="1437"/>
    <x v="330"/>
    <x v="44"/>
    <n v="110"/>
    <s v="SB-00007521"/>
    <s v="Д, 120"/>
    <x v="2"/>
    <x v="2"/>
    <x v="9"/>
    <s v="-"/>
    <s v="SVT"/>
    <s v="III"/>
    <s v="Прозрачный поликарбонат"/>
    <s v="&lt;5%"/>
    <x v="2"/>
    <n v="80"/>
    <s v="Samsung LM281B+ 18шт"/>
    <s v="150мА"/>
    <x v="1"/>
    <s v="Литой экструдированный алюминиевый анодированный профиль"/>
    <s v="Поворотный кронштейн 1шт"/>
    <x v="294"/>
    <n v="5.4599999999999996E-3"/>
    <x v="16"/>
    <x v="2"/>
    <s v="100 000 ч"/>
  </r>
  <r>
    <x v="1438"/>
    <x v="125"/>
    <x v="43"/>
    <n v="110"/>
    <s v="SB-00007522"/>
    <s v="Д, 120"/>
    <x v="2"/>
    <x v="2"/>
    <x v="4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2шт"/>
    <x v="295"/>
    <n v="9.5549999999999993E-3"/>
    <x v="11"/>
    <x v="2"/>
    <s v="100 000 ч"/>
  </r>
  <r>
    <x v="1439"/>
    <x v="125"/>
    <x v="43"/>
    <n v="110"/>
    <s v="SB-00007523"/>
    <s v="Д, 120"/>
    <x v="2"/>
    <x v="2"/>
    <x v="5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2шт"/>
    <x v="295"/>
    <n v="9.5549999999999993E-3"/>
    <x v="11"/>
    <x v="2"/>
    <s v="100 000 ч"/>
  </r>
  <r>
    <x v="1440"/>
    <x v="125"/>
    <x v="43"/>
    <n v="110"/>
    <s v="SB-00007524"/>
    <s v="Д, 120"/>
    <x v="2"/>
    <x v="2"/>
    <x v="6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2шт"/>
    <x v="295"/>
    <n v="9.5549999999999993E-3"/>
    <x v="11"/>
    <x v="2"/>
    <s v="100 000 ч"/>
  </r>
  <r>
    <x v="1441"/>
    <x v="125"/>
    <x v="43"/>
    <n v="110"/>
    <s v="SB-00007525"/>
    <s v="Д, 120"/>
    <x v="2"/>
    <x v="2"/>
    <x v="7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2шт"/>
    <x v="295"/>
    <n v="9.5549999999999993E-3"/>
    <x v="11"/>
    <x v="2"/>
    <s v="100 000 ч"/>
  </r>
  <r>
    <x v="1442"/>
    <x v="125"/>
    <x v="43"/>
    <n v="110"/>
    <s v="SB-00007526"/>
    <s v="Д, 120"/>
    <x v="2"/>
    <x v="2"/>
    <x v="8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2шт"/>
    <x v="295"/>
    <n v="9.5549999999999993E-3"/>
    <x v="11"/>
    <x v="2"/>
    <s v="100 000 ч"/>
  </r>
  <r>
    <x v="1443"/>
    <x v="125"/>
    <x v="43"/>
    <n v="110"/>
    <s v="SB-00007527"/>
    <s v="Д, 120"/>
    <x v="2"/>
    <x v="2"/>
    <x v="9"/>
    <s v="-"/>
    <s v="SVT"/>
    <s v="III"/>
    <s v="Прозрачный поликарбонат"/>
    <s v="&lt;5%"/>
    <x v="2"/>
    <n v="80"/>
    <s v="Samsung LM281B+ 36шт"/>
    <s v="150мА"/>
    <x v="1"/>
    <s v="Литой экструдированный алюминиевый анодированный профиль"/>
    <s v="Поворотный кронштейн 2шт"/>
    <x v="295"/>
    <n v="9.5549999999999993E-3"/>
    <x v="11"/>
    <x v="2"/>
    <s v="100 000 ч"/>
  </r>
  <r>
    <x v="1444"/>
    <x v="183"/>
    <x v="34"/>
    <n v="110"/>
    <s v="SB-00007528"/>
    <s v="Д, 120"/>
    <x v="2"/>
    <x v="2"/>
    <x v="4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2шт"/>
    <x v="296"/>
    <n v="1.3520000000000001E-2"/>
    <x v="43"/>
    <x v="2"/>
    <s v="100 000 ч"/>
  </r>
  <r>
    <x v="1445"/>
    <x v="183"/>
    <x v="34"/>
    <n v="110"/>
    <s v="SB-00007529"/>
    <s v="Д, 120"/>
    <x v="2"/>
    <x v="2"/>
    <x v="5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2шт"/>
    <x v="296"/>
    <n v="1.3520000000000001E-2"/>
    <x v="43"/>
    <x v="2"/>
    <s v="100 000 ч"/>
  </r>
  <r>
    <x v="1446"/>
    <x v="183"/>
    <x v="34"/>
    <n v="110"/>
    <s v="SB-00007530"/>
    <s v="Д, 120"/>
    <x v="2"/>
    <x v="2"/>
    <x v="6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2шт"/>
    <x v="296"/>
    <n v="1.3520000000000001E-2"/>
    <x v="43"/>
    <x v="2"/>
    <s v="100 000 ч"/>
  </r>
  <r>
    <x v="1447"/>
    <x v="183"/>
    <x v="34"/>
    <n v="110"/>
    <s v="SB-00007531"/>
    <s v="Д, 120"/>
    <x v="2"/>
    <x v="2"/>
    <x v="7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2шт"/>
    <x v="296"/>
    <n v="1.3520000000000001E-2"/>
    <x v="43"/>
    <x v="2"/>
    <s v="100 000 ч"/>
  </r>
  <r>
    <x v="1448"/>
    <x v="183"/>
    <x v="34"/>
    <n v="110"/>
    <s v="SB-00007534"/>
    <s v="Д, 120"/>
    <x v="2"/>
    <x v="2"/>
    <x v="8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2шт"/>
    <x v="296"/>
    <n v="1.3520000000000001E-2"/>
    <x v="43"/>
    <x v="2"/>
    <s v="100 000 ч"/>
  </r>
  <r>
    <x v="1449"/>
    <x v="183"/>
    <x v="34"/>
    <n v="110"/>
    <s v="SB-00007535"/>
    <s v="Д, 120"/>
    <x v="2"/>
    <x v="2"/>
    <x v="9"/>
    <s v="-"/>
    <s v="SVT"/>
    <s v="III"/>
    <s v="Прозрачный поликарбонат"/>
    <s v="&lt;5%"/>
    <x v="2"/>
    <n v="80"/>
    <s v="Samsung LM281B+ 54шт"/>
    <s v="150мА"/>
    <x v="1"/>
    <s v="Литой экструдированный алюминиевый анодированный профиль"/>
    <s v="Поворотный кронштейн 2шт"/>
    <x v="296"/>
    <n v="1.3520000000000001E-2"/>
    <x v="43"/>
    <x v="2"/>
    <s v="100 000 ч"/>
  </r>
  <r>
    <x v="1450"/>
    <x v="331"/>
    <x v="5"/>
    <n v="110"/>
    <s v="SB-00007536"/>
    <s v="Д, 120"/>
    <x v="2"/>
    <x v="2"/>
    <x v="4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2шт"/>
    <x v="277"/>
    <n v="1.7420000000000001E-2"/>
    <x v="22"/>
    <x v="2"/>
    <s v="100 000 ч"/>
  </r>
  <r>
    <x v="1451"/>
    <x v="331"/>
    <x v="5"/>
    <n v="110"/>
    <s v="SB-00007537"/>
    <s v="Д, 120"/>
    <x v="2"/>
    <x v="2"/>
    <x v="5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2шт"/>
    <x v="277"/>
    <n v="1.7420000000000001E-2"/>
    <x v="22"/>
    <x v="2"/>
    <s v="100 000 ч"/>
  </r>
  <r>
    <x v="1452"/>
    <x v="331"/>
    <x v="5"/>
    <n v="110"/>
    <s v="SB-00007538"/>
    <s v="Д, 120"/>
    <x v="2"/>
    <x v="2"/>
    <x v="6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2шт"/>
    <x v="277"/>
    <n v="1.7420000000000001E-2"/>
    <x v="22"/>
    <x v="2"/>
    <s v="100 000 ч"/>
  </r>
  <r>
    <x v="1453"/>
    <x v="331"/>
    <x v="5"/>
    <n v="110"/>
    <s v="SB-00007539"/>
    <s v="Д, 120"/>
    <x v="2"/>
    <x v="2"/>
    <x v="7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2шт"/>
    <x v="277"/>
    <n v="1.7420000000000001E-2"/>
    <x v="22"/>
    <x v="2"/>
    <s v="100 000 ч"/>
  </r>
  <r>
    <x v="1454"/>
    <x v="331"/>
    <x v="5"/>
    <n v="110"/>
    <s v="SB-00007540"/>
    <s v="Д, 120"/>
    <x v="2"/>
    <x v="2"/>
    <x v="8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2шт"/>
    <x v="277"/>
    <n v="1.7420000000000001E-2"/>
    <x v="22"/>
    <x v="2"/>
    <s v="100 000 ч"/>
  </r>
  <r>
    <x v="1455"/>
    <x v="331"/>
    <x v="5"/>
    <n v="110"/>
    <s v="SB-00007541"/>
    <s v="Д, 120"/>
    <x v="2"/>
    <x v="2"/>
    <x v="9"/>
    <s v="-"/>
    <s v="SVT"/>
    <s v="III"/>
    <s v="Прозрачный поликарбонат"/>
    <s v="&lt;5%"/>
    <x v="2"/>
    <n v="80"/>
    <s v="Samsung LM281B+ 70шт"/>
    <s v="150мА"/>
    <x v="1"/>
    <s v="Литой экструдированный алюминиевый анодированный профиль"/>
    <s v="Поворотный кронштейн 2шт"/>
    <x v="277"/>
    <n v="1.7420000000000001E-2"/>
    <x v="22"/>
    <x v="2"/>
    <s v="100 000 ч"/>
  </r>
  <r>
    <x v="1456"/>
    <x v="332"/>
    <x v="86"/>
    <n v="146"/>
    <s v="SB-00017576"/>
    <s v="Д, 120"/>
    <x v="5"/>
    <x v="3"/>
    <x v="2"/>
    <s v="≥0,95"/>
    <s v="Аргос"/>
    <s v="I"/>
    <s v="Прозрачный поликарбонат "/>
    <s v="&lt;1%"/>
    <x v="2"/>
    <n v="80"/>
    <s v="Samsung"/>
    <s v="140мА"/>
    <x v="1"/>
    <s v="Литой экструдированный алюминиевый анодированный профиль"/>
    <s v="Поворотный кронштейн"/>
    <x v="58"/>
    <n v="1.0800000000000001E-2"/>
    <x v="20"/>
    <x v="2"/>
    <s v="100 000 ч"/>
  </r>
  <r>
    <x v="1457"/>
    <x v="333"/>
    <x v="129"/>
    <n v="146"/>
    <s v="SB-00017577"/>
    <s v="Д, 120"/>
    <x v="5"/>
    <x v="3"/>
    <x v="2"/>
    <s v="≥0,95"/>
    <s v="Аргос"/>
    <s v="I"/>
    <s v="Прозрачный поликарбонат "/>
    <s v="&lt;1%"/>
    <x v="2"/>
    <n v="80"/>
    <s v="Samsung"/>
    <s v="140мА"/>
    <x v="1"/>
    <s v="Литой экструдированный алюминиевый анодированный профиль"/>
    <s v="Поворотный кронштейн"/>
    <x v="59"/>
    <n v="2.1600000000000001E-2"/>
    <x v="21"/>
    <x v="2"/>
    <s v="100 000 ч"/>
  </r>
  <r>
    <x v="1458"/>
    <x v="334"/>
    <x v="7"/>
    <n v="150"/>
    <s v="SB-00017578"/>
    <s v="Д, 120"/>
    <x v="5"/>
    <x v="3"/>
    <x v="2"/>
    <s v="≥0,95"/>
    <s v="Аргос"/>
    <s v="I"/>
    <s v="Прозрачный поликарбонат "/>
    <s v="&lt;1%"/>
    <x v="2"/>
    <n v="80"/>
    <s v="Samsung"/>
    <s v="117мА"/>
    <x v="1"/>
    <s v="Литой экструдированный алюминиевый анодированный профиль"/>
    <s v="Поворотный кронштейн"/>
    <x v="87"/>
    <n v="2.7E-2"/>
    <x v="38"/>
    <x v="2"/>
    <s v="100 000 ч"/>
  </r>
  <r>
    <x v="1459"/>
    <x v="335"/>
    <x v="130"/>
    <n v="146"/>
    <s v="SB-00017580"/>
    <s v="Д, 120"/>
    <x v="5"/>
    <x v="3"/>
    <x v="2"/>
    <s v="≥0,95"/>
    <s v="Аргос"/>
    <s v="I"/>
    <s v="Прозрачный поликарбонат "/>
    <s v="&lt;1%"/>
    <x v="2"/>
    <n v="80"/>
    <s v="Samsung"/>
    <s v="140мА"/>
    <x v="1"/>
    <s v="Литой экструдированный алюминиевый анодированный профиль"/>
    <s v="Поворотный кронштейн"/>
    <x v="61"/>
    <n v="4.3200000000000002E-2"/>
    <x v="23"/>
    <x v="2"/>
    <s v="100 000 ч"/>
  </r>
  <r>
    <x v="1460"/>
    <x v="336"/>
    <x v="10"/>
    <n v="150"/>
    <s v="SB-00017581"/>
    <s v="Д, 120"/>
    <x v="5"/>
    <x v="3"/>
    <x v="2"/>
    <s v="≥0,95"/>
    <s v="Аргос"/>
    <s v="I"/>
    <s v="Прозрачный поликарбонат "/>
    <s v="&lt;1%"/>
    <x v="2"/>
    <n v="80"/>
    <s v="Samsung"/>
    <s v="117мА"/>
    <x v="1"/>
    <s v="Литой экструдированный алюминиевый анодированный профиль"/>
    <s v="Поворотный кронштейн"/>
    <x v="88"/>
    <n v="5.3999999999999999E-2"/>
    <x v="39"/>
    <x v="2"/>
    <s v="100 000 ч"/>
  </r>
  <r>
    <x v="173"/>
    <x v="53"/>
    <x v="35"/>
    <n v="105"/>
    <s v="SB-00011276"/>
    <s v="Д, 120"/>
    <x v="5"/>
    <x v="4"/>
    <x v="2"/>
    <s v="&gt;0,95"/>
    <s v="Трион (аварийный режим: 2 часа, 10% яркости)"/>
    <s v="I"/>
    <s v="Матовый"/>
    <s v="&lt;1%"/>
    <x v="2"/>
    <n v="80"/>
    <s v="Samsung LM281B+ 90шт"/>
    <s v="117мА"/>
    <x v="1"/>
    <s v="Поликарбонат"/>
    <s v="Накладное/подвесное"/>
    <x v="46"/>
    <n v="1.2999999999999999E-2"/>
    <x v="12"/>
    <x v="6"/>
    <s v="100 000 ч"/>
  </r>
  <r>
    <x v="1461"/>
    <x v="53"/>
    <x v="35"/>
    <n v="105"/>
    <s v="SB-00011277"/>
    <s v="Д, 120"/>
    <x v="5"/>
    <x v="2"/>
    <x v="2"/>
    <s v="&gt;0,95"/>
    <s v="Аргос управление по 0-10В/ШИМ/резистор 0-100кОм"/>
    <s v="I"/>
    <s v="Матовый"/>
    <s v="&lt;1%"/>
    <x v="2"/>
    <n v="80"/>
    <s v="Samsung LM281B+ 90шт"/>
    <s v="117мА"/>
    <x v="1"/>
    <s v="Поликарбонат"/>
    <s v="Накладное/подвесное"/>
    <x v="46"/>
    <n v="1.2999999999999999E-2"/>
    <x v="12"/>
    <x v="2"/>
    <s v="100 000 ч"/>
  </r>
  <r>
    <x v="1462"/>
    <x v="53"/>
    <x v="35"/>
    <n v="105"/>
    <s v="SB-00011278"/>
    <s v="Д, 120"/>
    <x v="5"/>
    <x v="2"/>
    <x v="2"/>
    <s v="&gt;0,95"/>
    <s v="Аргос управление по DALI"/>
    <s v="I"/>
    <s v="Матовый"/>
    <s v="&lt;1%"/>
    <x v="2"/>
    <n v="80"/>
    <s v="Samsung LM281B+ 90шт"/>
    <s v="117мА"/>
    <x v="1"/>
    <s v="Поликарбонат"/>
    <s v="Накладное/подвесное"/>
    <x v="46"/>
    <n v="1.2999999999999999E-2"/>
    <x v="12"/>
    <x v="2"/>
    <s v="100 000 ч"/>
  </r>
  <r>
    <x v="1463"/>
    <x v="337"/>
    <x v="131"/>
    <s v="105 / 114"/>
    <s v="SB-00011279"/>
    <s v="Д, 120"/>
    <x v="5"/>
    <x v="2"/>
    <x v="2"/>
    <s v="&gt;0,95"/>
    <s v="Аргос + дежурный режим 100%/20%"/>
    <s v="I"/>
    <s v="Матовый"/>
    <s v="&lt;1%"/>
    <x v="2"/>
    <n v="80"/>
    <s v="Samsung LM281B+ 90шт"/>
    <s v="117мА"/>
    <x v="1"/>
    <s v="Поликарбонат"/>
    <s v="Накладное/подвесное"/>
    <x v="46"/>
    <n v="1.2999999999999999E-2"/>
    <x v="12"/>
    <x v="2"/>
    <s v="100 000 ч"/>
  </r>
  <r>
    <x v="1464"/>
    <x v="337"/>
    <x v="131"/>
    <s v="105 / 114"/>
    <s v="SB-00011280"/>
    <s v="Д, 120"/>
    <x v="5"/>
    <x v="2"/>
    <x v="2"/>
    <s v="&gt;0,95"/>
    <s v="Аргос + акустический датчки + дежурный режим 100%/20%"/>
    <s v="I"/>
    <s v="Матовый"/>
    <s v="&lt;1%"/>
    <x v="2"/>
    <n v="80"/>
    <s v="Samsung LM281B+ 90шт"/>
    <s v="117мА"/>
    <x v="1"/>
    <s v="Поликарбонат"/>
    <s v="Накладное/подвесное"/>
    <x v="46"/>
    <n v="1.2999999999999999E-2"/>
    <x v="12"/>
    <x v="2"/>
    <s v="100 000 ч"/>
  </r>
  <r>
    <x v="1465"/>
    <x v="53"/>
    <x v="35"/>
    <n v="105"/>
    <s v="SB-00011281"/>
    <s v="Д, 120"/>
    <x v="5"/>
    <x v="2"/>
    <x v="2"/>
    <s v="&gt;0,95"/>
    <s v="Аргос + акустический датчки"/>
    <s v="I"/>
    <s v="Матовый"/>
    <s v="&lt;1%"/>
    <x v="2"/>
    <n v="80"/>
    <s v="Samsung LM281B+ 90шт"/>
    <s v="117мА"/>
    <x v="1"/>
    <s v="Поликарбонат"/>
    <s v="Накладное/подвесное"/>
    <x v="46"/>
    <n v="1.2999999999999999E-2"/>
    <x v="12"/>
    <x v="2"/>
    <s v="100 000 ч"/>
  </r>
  <r>
    <x v="1466"/>
    <x v="261"/>
    <x v="35"/>
    <n v="119"/>
    <s v="SB-00011282"/>
    <s v="Д, 120"/>
    <x v="5"/>
    <x v="2"/>
    <x v="2"/>
    <s v="&gt;0,95"/>
    <s v="Luxdator"/>
    <s v="II"/>
    <s v="Матовый"/>
    <s v="&lt;1%"/>
    <x v="2"/>
    <n v="80"/>
    <s v="Samsung LM281B+ 180шт"/>
    <s v="58мА"/>
    <x v="1"/>
    <s v="Поликарбонат"/>
    <s v="Накладное/подвесное"/>
    <x v="46"/>
    <n v="1.2999999999999999E-2"/>
    <x v="12"/>
    <x v="2"/>
    <s v="100 000 ч"/>
  </r>
  <r>
    <x v="1467"/>
    <x v="299"/>
    <x v="61"/>
    <n v="110"/>
    <s v="SB-00011288"/>
    <s v="Д, 120"/>
    <x v="5"/>
    <x v="4"/>
    <x v="2"/>
    <s v="&gt;0,95"/>
    <s v="Аргос, с БАП (аварийный режим: 3 часа, 5% яркости)"/>
    <s v="I"/>
    <s v="Матовый"/>
    <s v="&lt;1%"/>
    <x v="2"/>
    <n v="80"/>
    <s v="Samsung LM281B+ 168шт"/>
    <s v="117мА"/>
    <x v="1"/>
    <s v="Поликарбонат"/>
    <s v="Накладное/подвесное"/>
    <x v="145"/>
    <n v="1.2999999999999999E-2"/>
    <x v="51"/>
    <x v="6"/>
    <s v="100 000 ч"/>
  </r>
  <r>
    <x v="1468"/>
    <x v="299"/>
    <x v="61"/>
    <n v="110"/>
    <s v="SB-00011289"/>
    <s v="Д, 120"/>
    <x v="5"/>
    <x v="2"/>
    <x v="2"/>
    <s v="&gt;0,95"/>
    <s v="Аргос управление по 0-10В/ШИМ"/>
    <s v="I"/>
    <s v="Матовый"/>
    <s v="&lt;1%"/>
    <x v="2"/>
    <n v="80"/>
    <s v="Samsung LM281B+ 168шт"/>
    <s v="117мА"/>
    <x v="1"/>
    <s v="Поликарбонат"/>
    <s v="Накладное/подвесное"/>
    <x v="145"/>
    <n v="1.2999999999999999E-2"/>
    <x v="14"/>
    <x v="2"/>
    <s v="100 000 ч"/>
  </r>
  <r>
    <x v="1469"/>
    <x v="299"/>
    <x v="61"/>
    <n v="110"/>
    <s v="SB-00011290"/>
    <s v="Д, 120"/>
    <x v="5"/>
    <x v="2"/>
    <x v="2"/>
    <s v="&gt;0,95"/>
    <s v="Аргос управление по DALI"/>
    <s v="I"/>
    <s v="Матовый"/>
    <s v="&lt;1%"/>
    <x v="2"/>
    <n v="80"/>
    <s v="Samsung LM281B+ 168шт"/>
    <s v="117мА"/>
    <x v="1"/>
    <s v="Поликарбонат"/>
    <s v="Накладное/подвесное"/>
    <x v="145"/>
    <n v="1.2999999999999999E-2"/>
    <x v="14"/>
    <x v="2"/>
    <s v="100 000 ч"/>
  </r>
  <r>
    <x v="171"/>
    <x v="51"/>
    <x v="38"/>
    <n v="110"/>
    <s v="SB-00009724"/>
    <s v="Д, 90"/>
    <x v="3"/>
    <x v="4"/>
    <x v="2"/>
    <s v="&gt;0,95"/>
    <s v="Трион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4"/>
    <n v="1.4760000000000001E-2"/>
    <x v="12"/>
    <x v="5"/>
    <s v="30 000 ч"/>
  </r>
  <r>
    <x v="1470"/>
    <x v="53"/>
    <x v="35"/>
    <n v="105"/>
    <s v="SB-00011275"/>
    <s v="Д, 120"/>
    <x v="5"/>
    <x v="2"/>
    <x v="2"/>
    <s v="&gt;0,95"/>
    <s v="Luxdator"/>
    <s v="II"/>
    <s v="Матовый"/>
    <s v="&lt;1%"/>
    <x v="2"/>
    <n v="80"/>
    <s v="Samsung LM281B+ 90шт"/>
    <s v="117мА"/>
    <x v="1"/>
    <s v="Поликарбонат"/>
    <s v="Накладное/подвесное"/>
    <x v="46"/>
    <n v="1.2999999999999999E-2"/>
    <x v="12"/>
    <x v="2"/>
    <s v="100 000 ч"/>
  </r>
  <r>
    <x v="1471"/>
    <x v="51"/>
    <x v="38"/>
    <n v="110"/>
    <s v="SB-00009722"/>
    <s v="Д, 120"/>
    <x v="3"/>
    <x v="2"/>
    <x v="2"/>
    <s v="&gt;0,95"/>
    <s v="Luxdator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4"/>
    <n v="1.4760000000000001E-2"/>
    <x v="12"/>
    <x v="5"/>
    <s v="30 000 ч"/>
  </r>
  <r>
    <x v="171"/>
    <x v="51"/>
    <x v="38"/>
    <n v="110"/>
    <s v="SB-00009724"/>
    <s v="Д, 120"/>
    <x v="3"/>
    <x v="4"/>
    <x v="2"/>
    <s v="&gt;0,95"/>
    <s v="Трион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4"/>
    <n v="1.4760000000000001E-2"/>
    <x v="12"/>
    <x v="5"/>
    <s v="30 000 ч"/>
  </r>
  <r>
    <x v="1472"/>
    <x v="53"/>
    <x v="111"/>
    <n v="111"/>
    <s v="SB-00012894"/>
    <s v="Д, 120"/>
    <x v="6"/>
    <x v="3"/>
    <x v="2"/>
    <s v="≥0,95"/>
    <s v="ЮПЗ/Аргос/Трион или иной по запросу"/>
    <s v="I"/>
    <s v="Матовый полистирол"/>
    <s v="&lt;1%"/>
    <x v="13"/>
    <n v="80"/>
    <s v="Samsung/Edison 2835 84шт"/>
    <s v="117мА"/>
    <x v="3"/>
    <s v="Сталь с порошковой покраской"/>
    <s v="Реечный потолок"/>
    <x v="244"/>
    <n v="1.1904E-2"/>
    <x v="24"/>
    <x v="8"/>
    <s v="100 000 ч"/>
  </r>
  <r>
    <x v="1473"/>
    <x v="53"/>
    <x v="111"/>
    <n v="111"/>
    <s v="SB-00012895"/>
    <s v="Д, 120"/>
    <x v="6"/>
    <x v="4"/>
    <x v="2"/>
    <s v="&gt;0,95"/>
    <s v="Трион c БАП на 2ч, 10%"/>
    <s v="I"/>
    <s v="Матовый полистирол"/>
    <s v="&lt;1%"/>
    <x v="13"/>
    <n v="80"/>
    <s v="Samsung/Edison 2835 84шт"/>
    <s v="117мА"/>
    <x v="3"/>
    <s v="Сталь с порошковой покраской"/>
    <s v="Реечный потолок"/>
    <x v="244"/>
    <n v="1.1904E-2"/>
    <x v="100"/>
    <x v="8"/>
    <s v="100 000 ч"/>
  </r>
  <r>
    <x v="1474"/>
    <x v="338"/>
    <x v="132"/>
    <n v="111"/>
    <s v="SB-00012896"/>
    <s v="Д, 120"/>
    <x v="6"/>
    <x v="3"/>
    <x v="2"/>
    <s v="≥0,95"/>
    <s v="ЮПЗ/Аргос/Трион или иной по запросу"/>
    <s v="I"/>
    <s v="Матовый полистирол"/>
    <s v="&lt;1%"/>
    <x v="13"/>
    <n v="80"/>
    <s v="Samsung/Edison 2835 42шт"/>
    <s v="117мА"/>
    <x v="3"/>
    <s v="Сталь с порошковой покраской"/>
    <s v="Реечный потолок"/>
    <x v="245"/>
    <n v="1.1904E-2"/>
    <x v="44"/>
    <x v="8"/>
    <s v="100 000 ч"/>
  </r>
  <r>
    <x v="1154"/>
    <x v="52"/>
    <x v="19"/>
    <n v="111"/>
    <s v="SB-00012926"/>
    <s v="Д, 120"/>
    <x v="3"/>
    <x v="3"/>
    <x v="2"/>
    <s v="&gt;0,95"/>
    <s v="Аргос"/>
    <s v="I"/>
    <s v="Матовый"/>
    <s v="&lt;1%"/>
    <x v="4"/>
    <n v="80"/>
    <s v="Samsung/Edison 2835 72шт"/>
    <s v="117мА"/>
    <x v="3"/>
    <s v="Сталь с порошковой покраской"/>
    <s v="Потолок тип Clip-in"/>
    <x v="248"/>
    <n v="0.01"/>
    <x v="10"/>
    <x v="7"/>
    <s v="100 000 ч"/>
  </r>
  <r>
    <x v="1475"/>
    <x v="339"/>
    <x v="133"/>
    <n v="111"/>
    <s v="SB-00012929"/>
    <s v="Д, 120"/>
    <x v="3"/>
    <x v="3"/>
    <x v="2"/>
    <s v="&gt;0,95"/>
    <s v="Аргос"/>
    <s v="I"/>
    <s v="Матовый"/>
    <s v="&lt;1%"/>
    <x v="4"/>
    <n v="80"/>
    <s v="Samsung/Edison 2835 108шт"/>
    <s v="117мА"/>
    <x v="3"/>
    <s v="Сталь с порошковой покраской"/>
    <s v="Потолок тип Clip-in"/>
    <x v="248"/>
    <n v="0.01"/>
    <x v="10"/>
    <x v="7"/>
    <s v="100 000 ч"/>
  </r>
  <r>
    <x v="1476"/>
    <x v="60"/>
    <x v="19"/>
    <n v="129"/>
    <s v="SB-00012126"/>
    <s v="Д, 120"/>
    <x v="3"/>
    <x v="3"/>
    <x v="2"/>
    <s v="&gt;0,95"/>
    <s v="Аргос"/>
    <s v="I"/>
    <s v="Призма"/>
    <s v="&lt;1%"/>
    <x v="1"/>
    <n v="80"/>
    <s v="Samsung/Edison 2835 72шт"/>
    <s v="117мА"/>
    <x v="3"/>
    <s v="Сталь с порошковой покраской"/>
    <s v="Потолок тип Clip-in"/>
    <x v="248"/>
    <n v="0.01"/>
    <x v="10"/>
    <x v="7"/>
    <s v="100 000 ч"/>
  </r>
  <r>
    <x v="1477"/>
    <x v="340"/>
    <x v="111"/>
    <n v="131"/>
    <s v="SB-00012127"/>
    <s v="Д, 120"/>
    <x v="3"/>
    <x v="3"/>
    <x v="2"/>
    <s v="&gt;0,95"/>
    <s v="Аргос"/>
    <s v="I"/>
    <s v="Призма"/>
    <s v="&lt;1%"/>
    <x v="1"/>
    <n v="80"/>
    <s v="Samsung/Edison 2835 84шт"/>
    <s v="117мА"/>
    <x v="3"/>
    <s v="Сталь с порошковой покраской"/>
    <s v="Потолок тип Clip-in"/>
    <x v="248"/>
    <n v="0.01"/>
    <x v="10"/>
    <x v="7"/>
    <s v="100 000 ч"/>
  </r>
  <r>
    <x v="1478"/>
    <x v="341"/>
    <x v="106"/>
    <n v="132"/>
    <s v="SB-00012128"/>
    <s v="Д, 120"/>
    <x v="3"/>
    <x v="3"/>
    <x v="2"/>
    <s v="&gt;0,95"/>
    <s v="Аргос"/>
    <s v="I"/>
    <s v="Призма"/>
    <s v="&lt;1%"/>
    <x v="1"/>
    <n v="80"/>
    <s v="Samsung/Edison 2835 96шт"/>
    <s v="117мА"/>
    <x v="3"/>
    <s v="Сталь с порошковой покраской"/>
    <s v="Потолок тип Clip-in"/>
    <x v="248"/>
    <n v="0.01"/>
    <x v="10"/>
    <x v="7"/>
    <s v="100 000 ч"/>
  </r>
  <r>
    <x v="1479"/>
    <x v="272"/>
    <x v="133"/>
    <n v="132"/>
    <s v="SB-00012129"/>
    <s v="Д, 120"/>
    <x v="3"/>
    <x v="3"/>
    <x v="2"/>
    <s v="&gt;0,95"/>
    <s v="Аргос"/>
    <s v="I"/>
    <s v="Призма"/>
    <s v="&lt;1%"/>
    <x v="1"/>
    <n v="80"/>
    <s v="Samsung/Edison 2835 108шт"/>
    <s v="117мА"/>
    <x v="3"/>
    <s v="Сталь с порошковой покраской"/>
    <s v="Потолок тип Clip-in"/>
    <x v="248"/>
    <n v="0.01"/>
    <x v="10"/>
    <x v="7"/>
    <s v="100 000 ч"/>
  </r>
  <r>
    <x v="1480"/>
    <x v="53"/>
    <x v="111"/>
    <n v="111"/>
    <s v="SB-00012927"/>
    <s v="Д, 120"/>
    <x v="3"/>
    <x v="3"/>
    <x v="2"/>
    <s v="&gt;0,95"/>
    <s v="Аргос"/>
    <s v="I"/>
    <s v="Матовый"/>
    <s v="&lt;1%"/>
    <x v="4"/>
    <n v="80"/>
    <s v="Samsung/Edison 2835 84шт"/>
    <s v="117мА"/>
    <x v="3"/>
    <s v="Сталь с порошковой покраской"/>
    <s v="Потолок тип Clip-in"/>
    <x v="248"/>
    <n v="0.01"/>
    <x v="10"/>
    <x v="7"/>
    <s v="100 000 ч"/>
  </r>
  <r>
    <x v="1481"/>
    <x v="51"/>
    <x v="38"/>
    <n v="110"/>
    <s v="SB-00009363"/>
    <s v="Д, 120"/>
    <x v="3"/>
    <x v="2"/>
    <x v="2"/>
    <s v="&gt;0,95"/>
    <s v="Аргос/Трион или иной по запросу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3"/>
    <n v="1.4760000000000001E-2"/>
    <x v="11"/>
    <x v="5"/>
    <s v="30 000 ч"/>
  </r>
  <r>
    <x v="1482"/>
    <x v="51"/>
    <x v="38"/>
    <n v="110"/>
    <s v="SB-00009364"/>
    <s v="Д, 120"/>
    <x v="3"/>
    <x v="2"/>
    <x v="2"/>
    <s v="&gt;0,95"/>
    <s v="Аргос/Трион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3"/>
    <n v="1.4760000000000001E-2"/>
    <x v="11"/>
    <x v="5"/>
    <s v="30 000 ч"/>
  </r>
  <r>
    <x v="170"/>
    <x v="51"/>
    <x v="38"/>
    <n v="110"/>
    <s v="SB-00009365"/>
    <s v="Д, 120"/>
    <x v="3"/>
    <x v="4"/>
    <x v="2"/>
    <s v="&gt;0,95"/>
    <s v="Трион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3"/>
    <n v="1.4760000000000001E-2"/>
    <x v="11"/>
    <x v="5"/>
    <s v="30 000 ч"/>
  </r>
  <r>
    <x v="1483"/>
    <x v="342"/>
    <x v="35"/>
    <n v="106"/>
    <s v="SB-00008888"/>
    <s v="Д, 120"/>
    <x v="4"/>
    <x v="3"/>
    <x v="2"/>
    <s v="≥0,95"/>
    <s v="Luxdator"/>
    <s v="I"/>
    <s v="Призматический полистирол"/>
    <s v="&lt;1%"/>
    <x v="5"/>
    <n v="80"/>
    <s v="Lumileds 64шт"/>
    <s v="175mA"/>
    <x v="3"/>
    <s v="Формованная листовая сталь с порошковой окраской"/>
    <s v="Накладное/встраиваемое в потолок армстронг"/>
    <x v="45"/>
    <n v="2.3064000000000001E-2"/>
    <x v="13"/>
    <x v="8"/>
    <s v="100 000 ч"/>
  </r>
  <r>
    <x v="1484"/>
    <x v="343"/>
    <x v="35"/>
    <n v="96"/>
    <s v="SB-00017304"/>
    <s v="Д, 120"/>
    <x v="4"/>
    <x v="3"/>
    <x v="2"/>
    <s v="≥0,95"/>
    <s v="Luxdator"/>
    <s v="I"/>
    <s v="Матовый полистирол"/>
    <s v="&lt;1%"/>
    <x v="5"/>
    <n v="80"/>
    <s v="Lumileds 64шт"/>
    <s v="175mA"/>
    <x v="3"/>
    <s v="Формованная листовая сталь с порошковой окраской"/>
    <s v="Накладное/встраиваемое в потолок армстронг"/>
    <x v="45"/>
    <n v="2.3064000000000001E-2"/>
    <x v="13"/>
    <x v="8"/>
    <s v="100 000 ч"/>
  </r>
  <r>
    <x v="1485"/>
    <x v="342"/>
    <x v="35"/>
    <n v="106"/>
    <s v="SB-00009318"/>
    <s v="Д, 120"/>
    <x v="4"/>
    <x v="3"/>
    <x v="2"/>
    <s v="≥0,95"/>
    <s v="Luxdator"/>
    <s v="I"/>
    <s v="Призматический полистирол"/>
    <s v="&lt;1%"/>
    <x v="5"/>
    <n v="80"/>
    <s v="Lumileds 64шт"/>
    <s v="175mA"/>
    <x v="3"/>
    <s v="Формованная листовая сталь с порошковой окраской"/>
    <s v="Накладное/встраиваемое в потолок армстронг"/>
    <x v="242"/>
    <n v="1.4760000000000001E-2"/>
    <x v="9"/>
    <x v="8"/>
    <s v="100 000 ч"/>
  </r>
  <r>
    <x v="1486"/>
    <x v="343"/>
    <x v="35"/>
    <n v="96"/>
    <s v="SB-00017305"/>
    <s v="Д, 120"/>
    <x v="4"/>
    <x v="3"/>
    <x v="2"/>
    <s v="≥0,95"/>
    <s v="Luxdator"/>
    <s v="I"/>
    <s v="Матовый полистирол"/>
    <s v="&lt;1%"/>
    <x v="5"/>
    <n v="80"/>
    <s v="Lumileds 64шт"/>
    <s v="175mA"/>
    <x v="3"/>
    <s v="Формованная листовая сталь с порошковой окраской"/>
    <s v="Накладное/встраиваемое в потолок армстронг"/>
    <x v="242"/>
    <n v="1.4760000000000001E-2"/>
    <x v="9"/>
    <x v="8"/>
    <s v="100 000 ч"/>
  </r>
  <r>
    <x v="1487"/>
    <x v="51"/>
    <x v="38"/>
    <n v="110"/>
    <s v="SB-00009321"/>
    <s v="Д, 120"/>
    <x v="3"/>
    <x v="2"/>
    <x v="2"/>
    <s v="&gt;0,95"/>
    <s v="ЦСВТ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3"/>
    <n v="1.4760000000000001E-2"/>
    <x v="12"/>
    <x v="5"/>
    <s v="30 000 ч"/>
  </r>
  <r>
    <x v="1488"/>
    <x v="256"/>
    <x v="19"/>
    <n v="148"/>
    <s v="SB-00013282"/>
    <s v="Д, 120"/>
    <x v="3"/>
    <x v="2"/>
    <x v="2"/>
    <s v="&gt;0,95"/>
    <s v="ЦСВТ"/>
    <s v="II"/>
    <s v="Призматический полистирол (опц. Колотый лёд)"/>
    <s v="&lt;1%"/>
    <x v="2"/>
    <n v="80"/>
    <s v="Everlight 0,5W 72шт"/>
    <s v="117мА"/>
    <x v="3"/>
    <s v="Полистирол"/>
    <s v="Накладное/встраиваемое"/>
    <x v="43"/>
    <n v="1.4760000000000001E-2"/>
    <x v="12"/>
    <x v="5"/>
    <s v="30 000 ч"/>
  </r>
  <r>
    <x v="1489"/>
    <x v="340"/>
    <x v="111"/>
    <n v="131"/>
    <s v="SB-00012518"/>
    <s v="Д, 120"/>
    <x v="3"/>
    <x v="2"/>
    <x v="2"/>
    <s v="&gt;0,95"/>
    <s v="ЦСВТ"/>
    <s v="II"/>
    <s v="Призматический полистирол (опц. Колотый лёд)"/>
    <s v="&lt;1%"/>
    <x v="2"/>
    <n v="80"/>
    <s v="Everlight 0,5W 84шт"/>
    <s v="117мА"/>
    <x v="3"/>
    <s v="Полистирол"/>
    <s v="Накладное/встраиваемое"/>
    <x v="43"/>
    <n v="1.4760000000000001E-2"/>
    <x v="12"/>
    <x v="5"/>
    <s v="30 000 ч"/>
  </r>
  <r>
    <x v="1490"/>
    <x v="66"/>
    <x v="39"/>
    <n v="128"/>
    <s v="SB-00004428"/>
    <s v="Д, 120"/>
    <x v="5"/>
    <x v="2"/>
    <x v="2"/>
    <s v="≥0,95"/>
    <s v="ЮПЗ"/>
    <s v="I"/>
    <s v="Прозрачный"/>
    <s v="&lt;1%"/>
    <x v="2"/>
    <n v="80"/>
    <s v="Edison 0,5W 48шт"/>
    <s v="175мА"/>
    <x v="1"/>
    <s v="Пластиковый корпус из ABS. Рассеиватель из полимерного пластика SAN."/>
    <s v="Накалдное на специальные скобы"/>
    <x v="148"/>
    <n v="1.8162375000000001E-2"/>
    <x v="15"/>
    <x v="2"/>
    <s v="100 000 ч"/>
  </r>
  <r>
    <x v="1491"/>
    <x v="186"/>
    <x v="39"/>
    <n v="113"/>
    <s v="SB-00004426"/>
    <s v="Д, 120"/>
    <x v="5"/>
    <x v="2"/>
    <x v="2"/>
    <s v="≥0,95"/>
    <s v="ЮПЗ"/>
    <s v="I"/>
    <s v="Матовый"/>
    <s v="&lt;1%"/>
    <x v="2"/>
    <n v="80"/>
    <s v="Edison 0,5W 48шт"/>
    <s v="175мА"/>
    <x v="1"/>
    <s v="Пластиковый корпус из ABS. Рассеиватель из полимерного пластика SAN."/>
    <s v="Накалдное на специальные скобы"/>
    <x v="148"/>
    <n v="1.8162375000000001E-2"/>
    <x v="15"/>
    <x v="2"/>
    <s v="100 000 ч"/>
  </r>
  <r>
    <x v="1492"/>
    <x v="187"/>
    <x v="88"/>
    <n v="128"/>
    <s v="SB-00004431"/>
    <s v="Д, 120"/>
    <x v="5"/>
    <x v="2"/>
    <x v="2"/>
    <s v="≥0,95"/>
    <s v="Аргос/Трион или иной по запросу"/>
    <s v="I"/>
    <s v="Прозрачный"/>
    <s v="&lt;1%"/>
    <x v="2"/>
    <n v="80"/>
    <s v="Edison 0,5W 64шт"/>
    <s v="175мА"/>
    <x v="1"/>
    <s v="Пластиковый корпус из ABS. Рассеиватель из полимерного пластика SAN."/>
    <s v="Накалдное на специальные скобы"/>
    <x v="148"/>
    <n v="1.8162375000000001E-2"/>
    <x v="15"/>
    <x v="2"/>
    <s v="100 000 ч"/>
  </r>
  <r>
    <x v="1493"/>
    <x v="188"/>
    <x v="88"/>
    <n v="113"/>
    <s v="SB-00004430"/>
    <s v="Д, 120"/>
    <x v="5"/>
    <x v="2"/>
    <x v="2"/>
    <s v="≥0,95"/>
    <s v="Аргос/Трион или иной по запросу"/>
    <s v="I"/>
    <s v="Матовый"/>
    <s v="&lt;1%"/>
    <x v="2"/>
    <n v="80"/>
    <s v="Edison 0,5W 64шт"/>
    <s v="175мА"/>
    <x v="1"/>
    <s v="Пластиковый корпус из ABS. Рассеиватель из полимерного пластика SAN."/>
    <s v="Накалдное на специальные скобы"/>
    <x v="148"/>
    <n v="1.8162375000000001E-2"/>
    <x v="15"/>
    <x v="2"/>
    <s v="100 000 ч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5" minRefreshableVersion="3" useAutoFormatting="1" itemPrintTitles="1" createdVersion="5" indent="0" outline="1" outlineData="1" multipleFieldFilters="0">
  <location ref="A6:A18" firstHeaderRow="1" firstDataRow="1" firstDataCol="1"/>
  <pivotFields count="26">
    <pivotField axis="axisRow" showAll="0">
      <items count="1495">
        <item h="1" x="1078"/>
        <item h="1" x="1079"/>
        <item h="1" x="1080"/>
        <item x="1392"/>
        <item h="1" x="1387"/>
        <item h="1" x="1389"/>
        <item h="1" x="1390"/>
        <item h="1" x="1391"/>
        <item h="1" x="1398"/>
        <item h="1" x="1393"/>
        <item h="1" x="1395"/>
        <item h="1" x="1396"/>
        <item h="1" x="1397"/>
        <item h="1" x="1380"/>
        <item h="1" x="1375"/>
        <item h="1" x="1377"/>
        <item h="1" x="1378"/>
        <item h="1" x="1379"/>
        <item h="1" x="1386"/>
        <item h="1" x="1381"/>
        <item h="1" x="1383"/>
        <item h="1" x="1384"/>
        <item h="1" x="1385"/>
        <item h="1" x="1067"/>
        <item h="1" x="1063"/>
        <item h="1" x="1064"/>
        <item h="1" x="1065"/>
        <item h="1" x="1066"/>
        <item h="1" x="1077"/>
        <item h="1" x="1073"/>
        <item h="1" x="1074"/>
        <item h="1" x="1075"/>
        <item h="1" x="1076"/>
        <item h="1" x="1408"/>
        <item h="1" x="1404"/>
        <item h="1" x="1405"/>
        <item h="1" x="1406"/>
        <item h="1" x="1407"/>
        <item h="1" x="1072"/>
        <item h="1" x="1068"/>
        <item h="1" x="1069"/>
        <item h="1" x="1070"/>
        <item h="1" x="1071"/>
        <item h="1" x="1403"/>
        <item h="1" x="1399"/>
        <item h="1" x="1400"/>
        <item h="1" x="1401"/>
        <item h="1" x="1402"/>
        <item h="1" x="1154"/>
        <item h="1" x="1476"/>
        <item h="1" x="1480"/>
        <item h="1" x="1477"/>
        <item h="1" x="1155"/>
        <item h="1" x="1478"/>
        <item h="1" x="1475"/>
        <item h="1" x="1479"/>
        <item h="1" x="1472"/>
        <item h="1" x="1473"/>
        <item h="1" x="1474"/>
        <item h="1" x="1136"/>
        <item h="1" x="1237"/>
        <item h="1" x="172"/>
        <item h="1" x="1471"/>
        <item h="1" x="1177"/>
        <item h="1" x="171"/>
        <item h="1" x="1488"/>
        <item h="1" x="1487"/>
        <item h="1" x="1176"/>
        <item h="1" x="1481"/>
        <item h="1" x="1482"/>
        <item h="1" x="170"/>
        <item h="1" x="1489"/>
        <item h="1" x="373"/>
        <item h="1" x="1166"/>
        <item h="1" x="1167"/>
        <item h="1" x="1168"/>
        <item h="1" x="1169"/>
        <item h="1" x="1163"/>
        <item h="1" x="1160"/>
        <item h="1" x="1164"/>
        <item h="1" x="1161"/>
        <item h="1" x="1165"/>
        <item h="1" x="1162"/>
        <item h="1" x="1159"/>
        <item h="1" x="1331"/>
        <item h="1" x="1332"/>
        <item h="1" x="1333"/>
        <item h="1" x="1325"/>
        <item h="1" x="1329"/>
        <item h="1" x="1340"/>
        <item h="1" x="1341"/>
        <item h="1" x="1342"/>
        <item h="1" x="1319"/>
        <item h="1" x="1320"/>
        <item h="1" x="1321"/>
        <item h="1" x="1330"/>
        <item h="1" x="1316"/>
        <item h="1" x="1326"/>
        <item h="1" x="1334"/>
        <item h="1" x="1335"/>
        <item h="1" x="1336"/>
        <item h="1" x="1327"/>
        <item h="1" x="1317"/>
        <item h="1" x="1322"/>
        <item h="1" x="1323"/>
        <item h="1" x="1324"/>
        <item h="1" x="1318"/>
        <item h="1" x="1337"/>
        <item h="1" x="1338"/>
        <item h="1" x="1339"/>
        <item h="1" x="1328"/>
        <item h="1" x="1453"/>
        <item h="1" x="1450"/>
        <item h="1" x="1454"/>
        <item h="1" x="1451"/>
        <item h="1" x="1455"/>
        <item h="1" x="1452"/>
        <item h="1" x="1418"/>
        <item h="1" x="1419"/>
        <item h="1" x="1415"/>
        <item h="1" x="1435"/>
        <item h="1" x="1432"/>
        <item h="1" x="1436"/>
        <item h="1" x="1433"/>
        <item h="1" x="1437"/>
        <item h="1" x="1434"/>
        <item h="1" x="1441"/>
        <item h="1" x="1438"/>
        <item h="1" x="1442"/>
        <item h="1" x="1439"/>
        <item h="1" x="1443"/>
        <item h="1" x="1440"/>
        <item h="1" x="1416"/>
        <item h="1" x="1447"/>
        <item h="1" x="1444"/>
        <item h="1" x="1448"/>
        <item h="1" x="1445"/>
        <item h="1" x="1449"/>
        <item h="1" x="1446"/>
        <item h="1" x="1417"/>
        <item h="1" x="1491"/>
        <item h="1" x="194"/>
        <item h="1" x="1490"/>
        <item h="1" x="193"/>
        <item h="1" x="1493"/>
        <item h="1" x="1492"/>
        <item h="1" x="673"/>
        <item h="1" x="672"/>
        <item h="1" x="675"/>
        <item h="1" x="674"/>
        <item h="1" x="236"/>
        <item h="1" x="233"/>
        <item h="1" x="237"/>
        <item h="1" x="234"/>
        <item h="1" x="238"/>
        <item h="1" x="235"/>
        <item h="1" x="1470"/>
        <item h="1" x="1461"/>
        <item h="1" x="1462"/>
        <item h="1" x="1463"/>
        <item h="1" x="1464"/>
        <item h="1" x="173"/>
        <item h="1" x="1466"/>
        <item h="1" x="1465"/>
        <item h="1" x="666"/>
        <item h="1" x="667"/>
        <item h="1" x="1468"/>
        <item h="1" x="1469"/>
        <item h="1" x="1467"/>
        <item h="1" x="662"/>
        <item h="1" x="218"/>
        <item h="1" x="215"/>
        <item h="1" x="219"/>
        <item h="1" x="216"/>
        <item h="1" x="220"/>
        <item h="1" x="217"/>
        <item h="1" x="224"/>
        <item h="1" x="221"/>
        <item h="1" x="225"/>
        <item h="1" x="222"/>
        <item h="1" x="226"/>
        <item h="1" x="223"/>
        <item h="1" x="664"/>
        <item h="1" x="230"/>
        <item h="1" x="227"/>
        <item h="1" x="231"/>
        <item h="1" x="228"/>
        <item h="1" x="232"/>
        <item h="1" x="229"/>
        <item h="1" x="665"/>
        <item h="1" x="1291"/>
        <item h="1" x="1293"/>
        <item h="1" x="1295"/>
        <item h="1" x="1294"/>
        <item h="1" x="1292"/>
        <item h="1" x="1299"/>
        <item h="1" x="1296"/>
        <item h="1" x="1300"/>
        <item h="1" x="1297"/>
        <item h="1" x="1301"/>
        <item h="1" x="1298"/>
        <item h="1" x="1305"/>
        <item h="1" x="1302"/>
        <item h="1" x="1306"/>
        <item h="1" x="1303"/>
        <item h="1" x="1307"/>
        <item h="1" x="1304"/>
        <item h="1" x="1311"/>
        <item h="1" x="1308"/>
        <item h="1" x="1312"/>
        <item h="1" x="1309"/>
        <item h="1" x="1313"/>
        <item h="1" x="1310"/>
        <item h="1" x="1288"/>
        <item h="1" x="196"/>
        <item h="1" x="1289"/>
        <item h="1" x="1290"/>
        <item h="1" x="1184"/>
        <item h="1" x="1185"/>
        <item h="1" x="1186"/>
        <item h="1" x="1187"/>
        <item h="1" x="1170"/>
        <item h="1" x="1171"/>
        <item h="1" x="1411"/>
        <item h="1" x="1412"/>
        <item h="1" x="1413"/>
        <item h="1" x="1414"/>
        <item h="1" x="1124"/>
        <item h="1" x="1122"/>
        <item h="1" x="1123"/>
        <item h="1" x="1121"/>
        <item h="1" x="1119"/>
        <item h="1" x="1120"/>
        <item h="1" x="601"/>
        <item h="1" x="600"/>
        <item h="1" x="602"/>
        <item h="1" x="609"/>
        <item h="1" x="608"/>
        <item h="1" x="610"/>
        <item h="1" x="613"/>
        <item h="1" x="612"/>
        <item h="1" x="614"/>
        <item h="1" x="592"/>
        <item h="1" x="591"/>
        <item h="1" x="593"/>
        <item h="1" x="595"/>
        <item h="1" x="594"/>
        <item h="1" x="596"/>
        <item h="1" x="598"/>
        <item h="1" x="597"/>
        <item h="1" x="599"/>
        <item h="1" x="1240"/>
        <item h="1" x="1235"/>
        <item h="1" x="1202"/>
        <item h="1" x="676"/>
        <item h="1" x="681"/>
        <item h="1" x="688"/>
        <item h="1" x="693"/>
        <item h="1" x="200"/>
        <item h="1" x="197"/>
        <item h="1" x="201"/>
        <item h="1" x="198"/>
        <item h="1" x="202"/>
        <item h="1" x="199"/>
        <item h="1" x="677"/>
        <item h="1" x="682"/>
        <item h="1" x="1083"/>
        <item h="1" x="1084"/>
        <item h="1" x="1085"/>
        <item h="1" x="689"/>
        <item h="1" x="694"/>
        <item h="1" x="206"/>
        <item h="1" x="203"/>
        <item h="1" x="207"/>
        <item h="1" x="204"/>
        <item h="1" x="208"/>
        <item h="1" x="205"/>
        <item h="1" x="707"/>
        <item h="1" x="715"/>
        <item h="1" x="810"/>
        <item h="1" x="818"/>
        <item h="1" x="850"/>
        <item h="1" x="858"/>
        <item h="1" x="704"/>
        <item h="1" x="712"/>
        <item h="1" x="807"/>
        <item h="1" x="815"/>
        <item h="1" x="847"/>
        <item h="1" x="855"/>
        <item h="1" x="708"/>
        <item h="1" x="716"/>
        <item h="1" x="811"/>
        <item h="1" x="819"/>
        <item h="1" x="851"/>
        <item h="1" x="859"/>
        <item h="1" x="705"/>
        <item h="1" x="713"/>
        <item h="1" x="808"/>
        <item h="1" x="816"/>
        <item h="1" x="848"/>
        <item h="1" x="856"/>
        <item h="1" x="711"/>
        <item h="1" x="719"/>
        <item h="1" x="710"/>
        <item h="1" x="718"/>
        <item h="1" x="806"/>
        <item h="1" x="814"/>
        <item h="1" x="805"/>
        <item h="1" x="813"/>
        <item h="1" x="846"/>
        <item h="1" x="854"/>
        <item h="1" x="845"/>
        <item h="1" x="853"/>
        <item h="1" x="706"/>
        <item h="1" x="714"/>
        <item h="1" x="809"/>
        <item h="1" x="817"/>
        <item h="1" x="849"/>
        <item h="1" x="857"/>
        <item h="1" x="709"/>
        <item h="1" x="717"/>
        <item h="1" x="812"/>
        <item h="1" x="820"/>
        <item h="1" x="852"/>
        <item h="1" x="860"/>
        <item h="1" x="1110"/>
        <item h="1" x="1101"/>
        <item h="1" x="1092"/>
        <item h="1" x="1111"/>
        <item h="1" x="1102"/>
        <item h="1" x="1093"/>
        <item h="1" x="1112"/>
        <item h="1" x="1103"/>
        <item h="1" x="1094"/>
        <item h="1" x="678"/>
        <item h="1" x="683"/>
        <item h="1" x="690"/>
        <item h="1" x="695"/>
        <item h="1" x="1345"/>
        <item h="1" x="744"/>
        <item h="1" x="768"/>
        <item h="1" x="746"/>
        <item h="1" x="770"/>
        <item h="1" x="747"/>
        <item h="1" x="771"/>
        <item h="1" x="745"/>
        <item h="1" x="769"/>
        <item h="1" x="1343"/>
        <item h="1" x="700"/>
        <item h="1" x="702"/>
        <item h="1" x="212"/>
        <item h="1" x="209"/>
        <item h="1" x="213"/>
        <item h="1" x="210"/>
        <item h="1" x="214"/>
        <item h="1" x="211"/>
        <item h="1" x="748"/>
        <item h="1" x="772"/>
        <item h="1" x="750"/>
        <item h="1" x="774"/>
        <item h="1" x="751"/>
        <item h="1" x="775"/>
        <item h="1" x="749"/>
        <item h="1" x="773"/>
        <item h="1" x="1086"/>
        <item h="1" x="1087"/>
        <item h="1" x="1088"/>
        <item h="1" x="679"/>
        <item h="1" x="684"/>
        <item h="1" x="167"/>
        <item h="1" x="168"/>
        <item h="1" x="691"/>
        <item h="1" x="696"/>
        <item h="1" x="1346"/>
        <item h="1" x="752"/>
        <item h="1" x="776"/>
        <item h="1" x="754"/>
        <item h="1" x="778"/>
        <item h="1" x="755"/>
        <item h="1" x="779"/>
        <item h="1" x="753"/>
        <item h="1" x="777"/>
        <item h="1" x="1344"/>
        <item h="1" x="701"/>
        <item h="1" x="703"/>
        <item h="1" x="756"/>
        <item h="1" x="780"/>
        <item h="1" x="758"/>
        <item h="1" x="782"/>
        <item h="1" x="759"/>
        <item h="1" x="783"/>
        <item h="1" x="757"/>
        <item h="1" x="781"/>
        <item h="1" x="723"/>
        <item h="1" x="731"/>
        <item h="1" x="826"/>
        <item h="1" x="834"/>
        <item h="1" x="910"/>
        <item h="1" x="917"/>
        <item h="1" x="889"/>
        <item h="1" x="896"/>
        <item h="1" x="866"/>
        <item h="1" x="874"/>
        <item h="1" x="720"/>
        <item h="1" x="728"/>
        <item h="1" x="823"/>
        <item h="1" x="831"/>
        <item h="1" x="907"/>
        <item h="1" x="914"/>
        <item h="1" x="886"/>
        <item h="1" x="893"/>
        <item h="1" x="863"/>
        <item h="1" x="871"/>
        <item h="1" x="724"/>
        <item h="1" x="732"/>
        <item h="1" x="827"/>
        <item h="1" x="835"/>
        <item h="1" x="911"/>
        <item h="1" x="918"/>
        <item h="1" x="890"/>
        <item h="1" x="897"/>
        <item h="1" x="867"/>
        <item h="1" x="875"/>
        <item h="1" x="721"/>
        <item h="1" x="729"/>
        <item h="1" x="824"/>
        <item h="1" x="832"/>
        <item h="1" x="908"/>
        <item h="1" x="915"/>
        <item h="1" x="887"/>
        <item h="1" x="894"/>
        <item h="1" x="864"/>
        <item h="1" x="872"/>
        <item h="1" x="727"/>
        <item h="1" x="735"/>
        <item h="1" x="726"/>
        <item h="1" x="734"/>
        <item h="1" x="822"/>
        <item h="1" x="830"/>
        <item h="1" x="821"/>
        <item h="1" x="829"/>
        <item h="1" x="906"/>
        <item h="1" x="913"/>
        <item h="1" x="885"/>
        <item h="1" x="892"/>
        <item h="1" x="862"/>
        <item h="1" x="870"/>
        <item h="1" x="861"/>
        <item h="1" x="869"/>
        <item h="1" x="722"/>
        <item h="1" x="730"/>
        <item h="1" x="825"/>
        <item h="1" x="833"/>
        <item h="1" x="909"/>
        <item h="1" x="916"/>
        <item h="1" x="888"/>
        <item h="1" x="895"/>
        <item h="1" x="865"/>
        <item h="1" x="873"/>
        <item h="1" x="725"/>
        <item h="1" x="733"/>
        <item h="1" x="828"/>
        <item h="1" x="836"/>
        <item h="1" x="912"/>
        <item h="1" x="919"/>
        <item h="1" x="891"/>
        <item h="1" x="898"/>
        <item h="1" x="868"/>
        <item h="1" x="876"/>
        <item h="1" x="1089"/>
        <item h="1" x="1090"/>
        <item h="1" x="1091"/>
        <item h="1" x="1113"/>
        <item h="1" x="1104"/>
        <item h="1" x="1095"/>
        <item h="1" x="1114"/>
        <item h="1" x="1105"/>
        <item h="1" x="1096"/>
        <item h="1" x="1115"/>
        <item h="1" x="1106"/>
        <item h="1" x="1097"/>
        <item h="1" x="680"/>
        <item h="1" x="685"/>
        <item h="1" x="692"/>
        <item h="1" x="697"/>
        <item h="1" x="760"/>
        <item h="1" x="784"/>
        <item h="1" x="762"/>
        <item h="1" x="786"/>
        <item h="1" x="763"/>
        <item h="1" x="787"/>
        <item h="1" x="761"/>
        <item h="1" x="785"/>
        <item h="1" x="764"/>
        <item h="1" x="788"/>
        <item h="1" x="766"/>
        <item h="1" x="790"/>
        <item h="1" x="767"/>
        <item h="1" x="791"/>
        <item h="1" x="765"/>
        <item h="1" x="789"/>
        <item h="1" x="739"/>
        <item h="1" x="842"/>
        <item h="1" x="924"/>
        <item h="1" x="903"/>
        <item h="1" x="882"/>
        <item h="1" x="736"/>
        <item h="1" x="839"/>
        <item h="1" x="921"/>
        <item h="1" x="900"/>
        <item h="1" x="879"/>
        <item h="1" x="740"/>
        <item h="1" x="843"/>
        <item h="1" x="925"/>
        <item h="1" x="904"/>
        <item h="1" x="883"/>
        <item h="1" x="737"/>
        <item h="1" x="840"/>
        <item h="1" x="922"/>
        <item h="1" x="901"/>
        <item h="1" x="880"/>
        <item h="1" x="743"/>
        <item h="1" x="742"/>
        <item h="1" x="838"/>
        <item h="1" x="837"/>
        <item h="1" x="920"/>
        <item h="1" x="899"/>
        <item h="1" x="878"/>
        <item h="1" x="877"/>
        <item h="1" x="738"/>
        <item h="1" x="841"/>
        <item h="1" x="923"/>
        <item h="1" x="902"/>
        <item h="1" x="881"/>
        <item h="1" x="1287"/>
        <item h="1" x="741"/>
        <item h="1" x="844"/>
        <item h="1" x="926"/>
        <item h="1" x="905"/>
        <item h="1" x="884"/>
        <item h="1" x="686"/>
        <item h="1" x="698"/>
        <item h="1" x="1236"/>
        <item h="1" x="1116"/>
        <item h="1" x="1107"/>
        <item h="1" x="1098"/>
        <item h="1" x="1117"/>
        <item h="1" x="1108"/>
        <item h="1" x="1099"/>
        <item h="1" x="1118"/>
        <item h="1" x="1109"/>
        <item h="1" x="1100"/>
        <item h="1" x="687"/>
        <item h="1" x="699"/>
        <item h="1" x="798"/>
        <item h="1" x="800"/>
        <item h="1" x="799"/>
        <item h="1" x="1285"/>
        <item h="1" x="1286"/>
        <item h="1" x="804"/>
        <item h="1" x="803"/>
        <item h="1" x="801"/>
        <item h="1" x="802"/>
        <item h="1" x="1281"/>
        <item h="1" x="1278"/>
        <item h="1" x="1282"/>
        <item h="1" x="1279"/>
        <item h="1" x="1284"/>
        <item h="1" x="1277"/>
        <item h="1" x="1280"/>
        <item h="1" x="1283"/>
        <item h="1" x="436"/>
        <item h="1" x="468"/>
        <item h="1" x="498"/>
        <item h="1" x="484"/>
        <item h="1" x="433"/>
        <item h="1" x="324"/>
        <item h="1" x="333"/>
        <item h="1" x="339"/>
        <item h="1" x="336"/>
        <item h="1" x="269"/>
        <item h="1" x="278"/>
        <item h="1" x="284"/>
        <item h="1" x="281"/>
        <item h="1" x="465"/>
        <item h="1" x="495"/>
        <item h="1" x="481"/>
        <item h="1" x="437"/>
        <item h="1" x="469"/>
        <item h="1" x="499"/>
        <item h="1" x="485"/>
        <item h="1" x="434"/>
        <item h="1" x="325"/>
        <item h="1" x="334"/>
        <item h="1" x="340"/>
        <item h="1" x="337"/>
        <item h="1" x="270"/>
        <item h="1" x="279"/>
        <item h="1" x="285"/>
        <item h="1" x="282"/>
        <item h="1" x="466"/>
        <item h="1" x="496"/>
        <item h="1" x="482"/>
        <item h="1" x="439"/>
        <item h="1" x="432"/>
        <item h="1" x="471"/>
        <item h="1" x="464"/>
        <item h="1" x="501"/>
        <item h="1" x="487"/>
        <item h="1" x="480"/>
        <item h="1" x="435"/>
        <item h="1" x="326"/>
        <item h="1" x="335"/>
        <item h="1" x="341"/>
        <item h="1" x="338"/>
        <item h="1" x="271"/>
        <item h="1" x="280"/>
        <item h="1" x="286"/>
        <item h="1" x="283"/>
        <item h="1" x="467"/>
        <item h="1" x="497"/>
        <item h="1" x="483"/>
        <item h="1" x="438"/>
        <item h="1" x="470"/>
        <item h="1" x="500"/>
        <item h="1" x="486"/>
        <item h="1" x="412"/>
        <item h="1" x="409"/>
        <item h="1" x="413"/>
        <item h="1" x="410"/>
        <item h="1" x="415"/>
        <item h="1" x="408"/>
        <item h="1" x="411"/>
        <item h="1" x="414"/>
        <item h="1" x="396"/>
        <item h="1" x="401"/>
        <item h="1" x="1255"/>
        <item h="1" x="1258"/>
        <item h="1" x="397"/>
        <item h="1" x="402"/>
        <item h="1" x="1265"/>
        <item h="1" x="1262"/>
        <item h="1" x="1266"/>
        <item h="1" x="1263"/>
        <item h="1" x="1268"/>
        <item h="1" x="1261"/>
        <item h="1" x="1264"/>
        <item h="1" x="1267"/>
        <item h="1" x="420"/>
        <item h="1" x="417"/>
        <item h="1" x="318"/>
        <item h="1" x="263"/>
        <item h="1" x="421"/>
        <item h="1" x="418"/>
        <item h="1" x="319"/>
        <item h="1" x="264"/>
        <item h="1" x="423"/>
        <item h="1" x="416"/>
        <item h="1" x="419"/>
        <item h="1" x="320"/>
        <item h="1" x="265"/>
        <item h="1" x="422"/>
        <item h="1" x="1256"/>
        <item h="1" x="1259"/>
        <item h="1" x="398"/>
        <item h="1" x="403"/>
        <item h="1" x="342"/>
        <item h="1" x="343"/>
        <item h="1" x="344"/>
        <item h="1" x="287"/>
        <item h="1" x="288"/>
        <item h="1" x="289"/>
        <item h="1" x="443"/>
        <item h="1" x="446"/>
        <item h="1" x="445"/>
        <item h="1" x="1273"/>
        <item h="1" x="1270"/>
        <item h="1" x="1274"/>
        <item h="1" x="1271"/>
        <item h="1" x="1276"/>
        <item h="1" x="1269"/>
        <item h="1" x="1272"/>
        <item h="1" x="1275"/>
        <item h="1" x="428"/>
        <item h="1" x="460"/>
        <item h="1" x="491"/>
        <item h="1" x="476"/>
        <item h="1" x="425"/>
        <item h="1" x="321"/>
        <item h="1" x="327"/>
        <item h="1" x="330"/>
        <item h="1" x="266"/>
        <item h="1" x="272"/>
        <item h="1" x="275"/>
        <item h="1" x="457"/>
        <item h="1" x="488"/>
        <item h="1" x="473"/>
        <item h="1" x="429"/>
        <item h="1" x="461"/>
        <item h="1" x="492"/>
        <item h="1" x="477"/>
        <item h="1" x="426"/>
        <item h="1" x="322"/>
        <item h="1" x="328"/>
        <item h="1" x="331"/>
        <item h="1" x="267"/>
        <item h="1" x="273"/>
        <item h="1" x="276"/>
        <item h="1" x="458"/>
        <item h="1" x="489"/>
        <item h="1" x="474"/>
        <item h="1" x="431"/>
        <item h="1" x="424"/>
        <item h="1" x="463"/>
        <item h="1" x="456"/>
        <item h="1" x="494"/>
        <item h="1" x="479"/>
        <item h="1" x="472"/>
        <item h="1" x="427"/>
        <item h="1" x="323"/>
        <item h="1" x="329"/>
        <item h="1" x="332"/>
        <item h="1" x="268"/>
        <item h="1" x="274"/>
        <item h="1" x="277"/>
        <item h="1" x="459"/>
        <item h="1" x="490"/>
        <item h="1" x="475"/>
        <item h="1" x="430"/>
        <item h="1" x="462"/>
        <item h="1" x="493"/>
        <item h="1" x="478"/>
        <item h="1" x="1257"/>
        <item h="1" x="1260"/>
        <item h="1" x="400"/>
        <item h="1" x="405"/>
        <item h="1" x="345"/>
        <item h="1" x="346"/>
        <item h="1" x="348"/>
        <item h="1" x="347"/>
        <item h="1" x="290"/>
        <item h="1" x="291"/>
        <item h="1" x="293"/>
        <item h="1" x="292"/>
        <item h="1" x="447"/>
        <item h="1" x="450"/>
        <item h="1" x="449"/>
        <item h="1" x="521"/>
        <item h="1" x="518"/>
        <item h="1" x="352"/>
        <item h="1" x="358"/>
        <item h="1" x="361"/>
        <item h="1" x="297"/>
        <item h="1" x="303"/>
        <item h="1" x="306"/>
        <item h="1" x="550"/>
        <item h="1" x="554"/>
        <item h="1" x="522"/>
        <item h="1" x="519"/>
        <item h="1" x="353"/>
        <item h="1" x="359"/>
        <item h="1" x="362"/>
        <item h="1" x="298"/>
        <item h="1" x="304"/>
        <item h="1" x="307"/>
        <item h="1" x="551"/>
        <item h="1" x="555"/>
        <item h="1" x="524"/>
        <item h="1" x="525"/>
        <item h="1" x="553"/>
        <item h="1" x="557"/>
        <item h="1" x="520"/>
        <item h="1" x="354"/>
        <item h="1" x="360"/>
        <item h="1" x="363"/>
        <item h="1" x="299"/>
        <item h="1" x="305"/>
        <item h="1" x="308"/>
        <item h="1" x="552"/>
        <item h="1" x="556"/>
        <item h="1" x="523"/>
        <item h="1" x="529"/>
        <item h="1" x="526"/>
        <item h="1" x="355"/>
        <item h="1" x="364"/>
        <item h="1" x="370"/>
        <item h="1" x="367"/>
        <item h="1" x="300"/>
        <item h="1" x="309"/>
        <item h="1" x="315"/>
        <item h="1" x="312"/>
        <item h="1" x="558"/>
        <item h="1" x="566"/>
        <item h="1" x="562"/>
        <item h="1" x="530"/>
        <item h="1" x="527"/>
        <item h="1" x="356"/>
        <item h="1" x="365"/>
        <item h="1" x="371"/>
        <item h="1" x="368"/>
        <item h="1" x="301"/>
        <item h="1" x="310"/>
        <item h="1" x="316"/>
        <item h="1" x="313"/>
        <item h="1" x="559"/>
        <item h="1" x="567"/>
        <item h="1" x="563"/>
        <item h="1" x="532"/>
        <item h="1" x="533"/>
        <item h="1" x="561"/>
        <item h="1" x="569"/>
        <item h="1" x="565"/>
        <item h="1" x="528"/>
        <item h="1" x="357"/>
        <item h="1" x="366"/>
        <item h="1" x="372"/>
        <item h="1" x="369"/>
        <item h="1" x="302"/>
        <item h="1" x="311"/>
        <item h="1" x="317"/>
        <item h="1" x="314"/>
        <item h="1" x="560"/>
        <item h="1" x="1234"/>
        <item h="1" x="568"/>
        <item h="1" x="564"/>
        <item h="1" x="531"/>
        <item h="1" x="505"/>
        <item h="1" x="502"/>
        <item h="1" x="506"/>
        <item h="1" x="503"/>
        <item h="1" x="508"/>
        <item h="1" x="509"/>
        <item h="1" x="504"/>
        <item h="1" x="507"/>
        <item h="1" x="513"/>
        <item h="1" x="510"/>
        <item h="1" x="349"/>
        <item h="1" x="294"/>
        <item h="1" x="514"/>
        <item h="1" x="511"/>
        <item h="1" x="350"/>
        <item h="1" x="295"/>
        <item h="1" x="516"/>
        <item h="1" x="517"/>
        <item h="1" x="512"/>
        <item h="1" x="351"/>
        <item h="1" x="296"/>
        <item h="1" x="515"/>
        <item h="1" x="1208"/>
        <item h="1" x="1206"/>
        <item h="1" x="1207"/>
        <item h="1" x="1209"/>
        <item h="1" x="1203"/>
        <item h="1" x="929"/>
        <item h="1" x="932"/>
        <item h="1" x="927"/>
        <item h="1" x="930"/>
        <item h="1" x="928"/>
        <item h="1" x="931"/>
        <item h="1" x="1409"/>
        <item h="1" x="1410"/>
        <item h="1" x="1204"/>
        <item h="1" x="1205"/>
        <item h="1" x="1125"/>
        <item h="1" x="1126"/>
        <item h="1" x="1127"/>
        <item h="1" x="1081"/>
        <item h="1" x="1082"/>
        <item h="1" x="1195"/>
        <item h="1" x="1239"/>
        <item h="1" x="1231"/>
        <item h="1" x="1198"/>
        <item h="1" x="1199"/>
        <item h="1" x="1200"/>
        <item h="1" x="1201"/>
        <item h="1" x="1238"/>
        <item h="1" x="1230"/>
        <item h="1" x="1232"/>
        <item h="1" x="1233"/>
        <item h="1" x="169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616"/>
        <item h="1" x="617"/>
        <item h="1" x="618"/>
        <item h="1" x="620"/>
        <item h="1" x="621"/>
        <item h="1" x="622"/>
        <item h="1" x="163"/>
        <item h="1" x="164"/>
        <item h="1" x="165"/>
        <item h="1" x="166"/>
        <item h="1" x="792"/>
        <item h="1" x="793"/>
        <item h="1" x="794"/>
        <item h="1" x="795"/>
        <item h="1" x="796"/>
        <item h="1" x="797"/>
        <item h="1" x="1134"/>
        <item h="1" x="1135"/>
        <item h="1" x="1139"/>
        <item h="1" x="1140"/>
        <item h="1" x="1141"/>
        <item h="1" x="1142"/>
        <item h="1" x="1143"/>
        <item h="1" x="1144"/>
        <item h="1" x="1145"/>
        <item h="1" x="1146"/>
        <item h="1" x="1147"/>
        <item h="1" x="1148"/>
        <item h="1" x="1149"/>
        <item h="1" x="1150"/>
        <item h="1" x="1151"/>
        <item h="1" x="1152"/>
        <item h="1" x="1153"/>
        <item h="1" x="176"/>
        <item h="1" x="181"/>
        <item h="1" x="182"/>
        <item h="1" x="183"/>
        <item h="1" x="184"/>
        <item h="1" x="185"/>
        <item h="1" x="186"/>
        <item h="1" x="187"/>
        <item h="1" x="188"/>
        <item h="1" x="189"/>
        <item h="1" x="190"/>
        <item h="1" x="191"/>
        <item h="1" x="192"/>
        <item h="1" x="1190"/>
        <item h="1" x="1191"/>
        <item h="1" x="375"/>
        <item h="1" x="376"/>
        <item h="1" x="603"/>
        <item h="1" x="604"/>
        <item h="1" x="605"/>
        <item h="1" x="606"/>
        <item h="1" x="607"/>
        <item h="1" x="611"/>
        <item h="1" x="615"/>
        <item h="1" x="619"/>
        <item h="1" x="624"/>
        <item h="1" x="625"/>
        <item h="1" x="626"/>
        <item h="1" x="627"/>
        <item h="1" x="628"/>
        <item h="1" x="629"/>
        <item h="1" x="630"/>
        <item h="1" x="631"/>
        <item h="1" x="534"/>
        <item h="1" x="535"/>
        <item h="1" x="536"/>
        <item h="1" x="537"/>
        <item h="1" x="538"/>
        <item h="1" x="539"/>
        <item h="1" x="540"/>
        <item h="1" x="541"/>
        <item h="1" x="542"/>
        <item h="1" x="543"/>
        <item h="1" x="544"/>
        <item h="1" x="545"/>
        <item h="1" x="546"/>
        <item h="1" x="547"/>
        <item h="1" x="548"/>
        <item h="1" x="549"/>
        <item h="1" x="392"/>
        <item h="1" x="393"/>
        <item h="1" x="394"/>
        <item h="1" x="395"/>
        <item h="1" x="632"/>
        <item h="1" x="633"/>
        <item h="1" x="634"/>
        <item h="1" x="635"/>
        <item h="1" x="636"/>
        <item h="1" x="637"/>
        <item h="1" x="638"/>
        <item h="1" x="639"/>
        <item h="1" x="640"/>
        <item h="1" x="641"/>
        <item h="1" x="642"/>
        <item h="1" x="643"/>
        <item h="1" x="644"/>
        <item h="1" x="645"/>
        <item h="1" x="646"/>
        <item h="1" x="647"/>
        <item h="1" x="648"/>
        <item h="1" x="649"/>
        <item h="1" x="650"/>
        <item h="1" x="651"/>
        <item h="1" x="652"/>
        <item h="1" x="653"/>
        <item h="1" x="654"/>
        <item h="1" x="655"/>
        <item h="1" x="656"/>
        <item h="1" x="657"/>
        <item h="1" x="658"/>
        <item h="1" x="659"/>
        <item h="1" x="1051"/>
        <item h="1" x="1052"/>
        <item h="1" x="1053"/>
        <item h="1" x="1054"/>
        <item h="1" x="1055"/>
        <item h="1" x="1056"/>
        <item h="1" x="1057"/>
        <item h="1" x="1058"/>
        <item h="1" x="1059"/>
        <item h="1" x="1060"/>
        <item h="1" x="1061"/>
        <item h="1" x="1062"/>
        <item h="1" x="1365"/>
        <item h="1" x="1366"/>
        <item h="1" x="1367"/>
        <item h="1" x="1368"/>
        <item h="1" x="1369"/>
        <item h="1" x="1370"/>
        <item h="1" x="1371"/>
        <item h="1" x="1372"/>
        <item h="1" x="1373"/>
        <item h="1" x="1376"/>
        <item h="1" x="1382"/>
        <item h="1" x="1388"/>
        <item h="1" x="1394"/>
        <item h="1" x="1172"/>
        <item h="1" x="1173"/>
        <item h="1" x="1174"/>
        <item h="1" x="1175"/>
        <item h="1" x="1178"/>
        <item h="1" x="1179"/>
        <item h="1" x="1180"/>
        <item h="1" x="1181"/>
        <item h="1" x="1182"/>
        <item h="1" x="1192"/>
        <item h="1" x="1193"/>
        <item h="1" x="1194"/>
        <item h="1" x="1374"/>
        <item h="1" x="374"/>
        <item h="1" x="1314"/>
        <item h="1" x="933"/>
        <item h="1" x="934"/>
        <item h="1" x="935"/>
        <item h="1" x="936"/>
        <item h="1" x="937"/>
        <item h="1" x="938"/>
        <item h="1" x="939"/>
        <item h="1" x="940"/>
        <item h="1" x="941"/>
        <item h="1" x="942"/>
        <item h="1" x="943"/>
        <item h="1" x="944"/>
        <item h="1" x="945"/>
        <item h="1" x="946"/>
        <item h="1" x="947"/>
        <item h="1" x="948"/>
        <item h="1" x="949"/>
        <item h="1" x="950"/>
        <item h="1" x="951"/>
        <item h="1" x="952"/>
        <item h="1" x="953"/>
        <item h="1" x="954"/>
        <item h="1" x="955"/>
        <item h="1" x="956"/>
        <item h="1" x="957"/>
        <item h="1" x="958"/>
        <item h="1" x="959"/>
        <item h="1" x="960"/>
        <item h="1" x="961"/>
        <item h="1" x="962"/>
        <item h="1" x="623"/>
        <item h="1" x="661"/>
        <item h="1" x="663"/>
        <item h="1" x="1483"/>
        <item h="1" x="1484"/>
        <item h="1" x="1485"/>
        <item h="1" x="1486"/>
        <item h="1" x="1183"/>
        <item h="1" x="174"/>
        <item h="1" x="175"/>
        <item h="1" x="195"/>
        <item h="1" x="1210"/>
        <item h="1" x="1211"/>
        <item h="1" x="1212"/>
        <item h="1" x="1213"/>
        <item h="1" x="1214"/>
        <item h="1" x="1215"/>
        <item h="1" x="1216"/>
        <item h="1" x="1217"/>
        <item h="1" x="1218"/>
        <item h="1" x="1219"/>
        <item h="1" x="1220"/>
        <item h="1" x="1221"/>
        <item h="1" x="1222"/>
        <item h="1" x="1223"/>
        <item h="1" x="1224"/>
        <item h="1" x="1225"/>
        <item h="1" x="1226"/>
        <item h="1" x="1227"/>
        <item h="1" x="1228"/>
        <item h="1" x="1229"/>
        <item h="1" x="1456"/>
        <item h="1" x="1457"/>
        <item h="1" x="1458"/>
        <item h="1" x="384"/>
        <item h="1" x="1459"/>
        <item h="1" x="1460"/>
        <item h="1" x="1347"/>
        <item h="1" x="1348"/>
        <item h="1" x="1349"/>
        <item h="1" x="1350"/>
        <item h="1" x="1351"/>
        <item h="1" x="1352"/>
        <item h="1" x="1353"/>
        <item h="1" x="1354"/>
        <item h="1" x="1355"/>
        <item h="1" x="1356"/>
        <item h="1" x="1357"/>
        <item h="1" x="1359"/>
        <item h="1" x="1360"/>
        <item h="1" x="1361"/>
        <item h="1" x="1362"/>
        <item h="1" x="1363"/>
        <item h="1" x="1364"/>
        <item h="1" x="1358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h="1" x="114"/>
        <item h="1" x="115"/>
        <item h="1" x="116"/>
        <item h="1" x="117"/>
        <item h="1" x="118"/>
        <item h="1" x="119"/>
        <item h="1" x="120"/>
        <item h="1" x="121"/>
        <item h="1" x="122"/>
        <item h="1" x="123"/>
        <item h="1" x="124"/>
        <item h="1" x="125"/>
        <item h="1" x="126"/>
        <item h="1" x="127"/>
        <item h="1" x="128"/>
        <item h="1" x="129"/>
        <item h="1" x="130"/>
        <item h="1" x="131"/>
        <item h="1" x="132"/>
        <item h="1" x="133"/>
        <item h="1" x="134"/>
        <item h="1" x="135"/>
        <item h="1" x="136"/>
        <item h="1" x="137"/>
        <item h="1" x="138"/>
        <item h="1" x="139"/>
        <item h="1" x="140"/>
        <item h="1" x="141"/>
        <item h="1" x="142"/>
        <item h="1" x="143"/>
        <item h="1" x="144"/>
        <item h="1" x="145"/>
        <item h="1" x="146"/>
        <item h="1" x="147"/>
        <item h="1" x="148"/>
        <item h="1" x="149"/>
        <item h="1" x="150"/>
        <item h="1" x="151"/>
        <item h="1" x="152"/>
        <item h="1" x="153"/>
        <item h="1" x="154"/>
        <item h="1" x="155"/>
        <item h="1" x="156"/>
        <item h="1" x="157"/>
        <item h="1" x="158"/>
        <item h="1" x="159"/>
        <item h="1" x="160"/>
        <item h="1" x="161"/>
        <item h="1" x="162"/>
        <item h="1" x="177"/>
        <item h="1" x="178"/>
        <item h="1" x="179"/>
        <item h="1" x="180"/>
        <item h="1" x="239"/>
        <item h="1" x="240"/>
        <item h="1" x="241"/>
        <item h="1" x="242"/>
        <item h="1" x="243"/>
        <item h="1" x="244"/>
        <item h="1" x="245"/>
        <item h="1" x="246"/>
        <item h="1" x="247"/>
        <item h="1" x="248"/>
        <item h="1" x="249"/>
        <item h="1" x="250"/>
        <item h="1" x="251"/>
        <item h="1" x="252"/>
        <item h="1" x="253"/>
        <item h="1" x="254"/>
        <item h="1" x="255"/>
        <item h="1" x="256"/>
        <item h="1" x="257"/>
        <item h="1" x="258"/>
        <item h="1" x="259"/>
        <item h="1" x="260"/>
        <item h="1" x="261"/>
        <item h="1" x="262"/>
        <item h="1" x="377"/>
        <item h="1" x="378"/>
        <item h="1" x="379"/>
        <item h="1" x="380"/>
        <item h="1" x="381"/>
        <item h="1" x="382"/>
        <item h="1" x="383"/>
        <item h="1" x="385"/>
        <item h="1" x="386"/>
        <item h="1" x="387"/>
        <item h="1" x="388"/>
        <item h="1" x="389"/>
        <item h="1" x="390"/>
        <item h="1" x="391"/>
        <item h="1" x="399"/>
        <item h="1" x="404"/>
        <item h="1" x="406"/>
        <item h="1" x="407"/>
        <item h="1" x="440"/>
        <item h="1" x="441"/>
        <item h="1" x="442"/>
        <item h="1" x="444"/>
        <item h="1" x="448"/>
        <item h="1" x="451"/>
        <item h="1" x="452"/>
        <item h="1" x="453"/>
        <item h="1" x="454"/>
        <item h="1" x="455"/>
        <item h="1" x="570"/>
        <item h="1" x="571"/>
        <item h="1" x="572"/>
        <item h="1" x="573"/>
        <item h="1" x="574"/>
        <item h="1" x="575"/>
        <item h="1" x="576"/>
        <item h="1" x="577"/>
        <item h="1" x="578"/>
        <item h="1" x="579"/>
        <item h="1" x="580"/>
        <item h="1" x="581"/>
        <item h="1" x="582"/>
        <item h="1" x="583"/>
        <item h="1" x="584"/>
        <item h="1" x="585"/>
        <item h="1" x="586"/>
        <item h="1" x="587"/>
        <item h="1" x="588"/>
        <item h="1" x="589"/>
        <item h="1" x="590"/>
        <item h="1" x="660"/>
        <item h="1" x="668"/>
        <item h="1" x="669"/>
        <item h="1" x="670"/>
        <item h="1" x="671"/>
        <item h="1" x="963"/>
        <item h="1" x="964"/>
        <item h="1" x="965"/>
        <item h="1" x="966"/>
        <item h="1" x="967"/>
        <item h="1" x="968"/>
        <item h="1" x="969"/>
        <item h="1" x="970"/>
        <item h="1" x="971"/>
        <item h="1" x="972"/>
        <item h="1" x="973"/>
        <item h="1" x="974"/>
        <item h="1" x="975"/>
        <item h="1" x="976"/>
        <item h="1" x="977"/>
        <item h="1" x="978"/>
        <item h="1" x="979"/>
        <item h="1" x="980"/>
        <item h="1" x="981"/>
        <item h="1" x="982"/>
        <item h="1" x="983"/>
        <item h="1" x="984"/>
        <item h="1" x="985"/>
        <item h="1" x="986"/>
        <item h="1" x="987"/>
        <item h="1" x="988"/>
        <item h="1" x="989"/>
        <item h="1" x="990"/>
        <item h="1" x="991"/>
        <item h="1" x="992"/>
        <item h="1" x="993"/>
        <item h="1" x="994"/>
        <item h="1" x="995"/>
        <item h="1" x="996"/>
        <item h="1" x="997"/>
        <item h="1" x="998"/>
        <item h="1" x="999"/>
        <item h="1" x="1000"/>
        <item h="1" x="1001"/>
        <item h="1" x="1002"/>
        <item h="1" x="1003"/>
        <item h="1" x="1004"/>
        <item h="1" x="1005"/>
        <item h="1" x="1006"/>
        <item h="1" x="1007"/>
        <item h="1" x="1008"/>
        <item h="1" x="1009"/>
        <item h="1" x="1010"/>
        <item h="1" x="1011"/>
        <item h="1" x="1012"/>
        <item h="1" x="1013"/>
        <item h="1" x="1014"/>
        <item h="1" x="1015"/>
        <item h="1" x="1016"/>
        <item h="1" x="1017"/>
        <item h="1" x="1018"/>
        <item h="1" x="1019"/>
        <item h="1" x="1020"/>
        <item h="1" x="1021"/>
        <item h="1" x="1022"/>
        <item h="1" x="1023"/>
        <item h="1" x="1024"/>
        <item h="1" x="1025"/>
        <item h="1" x="1026"/>
        <item h="1" x="1027"/>
        <item h="1" x="1028"/>
        <item h="1" x="1029"/>
        <item h="1" x="1030"/>
        <item h="1" x="1031"/>
        <item h="1" x="1032"/>
        <item h="1" x="1033"/>
        <item h="1" x="1034"/>
        <item h="1" x="1035"/>
        <item h="1" x="1036"/>
        <item h="1" x="1037"/>
        <item h="1" x="1038"/>
        <item h="1" x="1039"/>
        <item h="1" x="1040"/>
        <item h="1" x="1041"/>
        <item h="1" x="1042"/>
        <item h="1" x="1043"/>
        <item h="1" x="1044"/>
        <item h="1" x="1045"/>
        <item h="1" x="1046"/>
        <item h="1" x="1047"/>
        <item h="1" x="1048"/>
        <item h="1" x="1049"/>
        <item h="1" x="1050"/>
        <item h="1" x="1128"/>
        <item h="1" x="1129"/>
        <item h="1" x="1130"/>
        <item h="1" x="1131"/>
        <item h="1" x="1132"/>
        <item h="1" x="1133"/>
        <item h="1" x="1137"/>
        <item h="1" x="1138"/>
        <item h="1" x="1156"/>
        <item h="1" x="1157"/>
        <item h="1" x="1158"/>
        <item h="1" x="1188"/>
        <item h="1" x="1189"/>
        <item h="1" x="1196"/>
        <item h="1" x="1197"/>
        <item h="1" x="1241"/>
        <item h="1" x="1242"/>
        <item h="1" x="1243"/>
        <item h="1" x="1244"/>
        <item h="1" x="1245"/>
        <item h="1" x="1246"/>
        <item h="1" x="1247"/>
        <item h="1" x="1248"/>
        <item h="1" x="1249"/>
        <item h="1" x="1250"/>
        <item h="1" x="1251"/>
        <item h="1" x="1252"/>
        <item h="1" x="1253"/>
        <item h="1" x="1254"/>
        <item h="1" x="1315"/>
        <item h="1" x="1420"/>
        <item h="1" x="1421"/>
        <item h="1" x="1422"/>
        <item h="1" x="1423"/>
        <item h="1" x="1424"/>
        <item h="1" x="1425"/>
        <item h="1" x="1426"/>
        <item h="1" x="1427"/>
        <item h="1" x="1428"/>
        <item h="1" x="1429"/>
        <item h="1" x="1430"/>
        <item h="1" x="1431"/>
        <item t="default"/>
      </items>
    </pivotField>
    <pivotField axis="axisRow" showAll="0">
      <items count="345">
        <item x="257"/>
        <item x="55"/>
        <item x="289"/>
        <item x="32"/>
        <item x="330"/>
        <item x="286"/>
        <item x="258"/>
        <item x="288"/>
        <item x="250"/>
        <item x="252"/>
        <item x="33"/>
        <item x="306"/>
        <item x="259"/>
        <item x="125"/>
        <item x="338"/>
        <item x="255"/>
        <item x="126"/>
        <item x="61"/>
        <item x="307"/>
        <item x="127"/>
        <item x="192"/>
        <item x="183"/>
        <item x="251"/>
        <item x="253"/>
        <item x="59"/>
        <item x="34"/>
        <item x="52"/>
        <item x="69"/>
        <item x="51"/>
        <item x="62"/>
        <item x="276"/>
        <item x="58"/>
        <item x="270"/>
        <item x="260"/>
        <item x="60"/>
        <item x="331"/>
        <item x="193"/>
        <item x="40"/>
        <item x="249"/>
        <item x="53"/>
        <item x="256"/>
        <item x="254"/>
        <item x="198"/>
        <item x="63"/>
        <item x="19"/>
        <item x="267"/>
        <item x="261"/>
        <item x="35"/>
        <item x="340"/>
        <item x="271"/>
        <item x="117"/>
        <item x="339"/>
        <item x="194"/>
        <item x="341"/>
        <item x="170"/>
        <item x="274"/>
        <item x="41"/>
        <item x="272"/>
        <item x="291"/>
        <item x="145"/>
        <item x="36"/>
        <item x="189"/>
        <item x="299"/>
        <item x="273"/>
        <item x="70"/>
        <item x="42"/>
        <item x="93"/>
        <item x="49"/>
        <item x="37"/>
        <item x="78"/>
        <item x="20"/>
        <item x="210"/>
        <item x="199"/>
        <item x="97"/>
        <item x="43"/>
        <item x="197"/>
        <item x="195"/>
        <item x="85"/>
        <item x="172"/>
        <item x="71"/>
        <item x="104"/>
        <item x="94"/>
        <item x="112"/>
        <item x="200"/>
        <item x="21"/>
        <item x="213"/>
        <item x="8"/>
        <item x="81"/>
        <item x="100"/>
        <item x="72"/>
        <item x="196"/>
        <item x="201"/>
        <item x="86"/>
        <item x="50"/>
        <item x="173"/>
        <item x="79"/>
        <item x="22"/>
        <item x="317"/>
        <item x="211"/>
        <item x="98"/>
        <item x="113"/>
        <item x="292"/>
        <item x="314"/>
        <item x="203"/>
        <item x="87"/>
        <item x="167"/>
        <item x="73"/>
        <item x="105"/>
        <item x="95"/>
        <item x="202"/>
        <item x="146"/>
        <item x="212"/>
        <item x="80"/>
        <item x="24"/>
        <item x="312"/>
        <item x="82"/>
        <item x="214"/>
        <item x="99"/>
        <item x="101"/>
        <item x="75"/>
        <item x="206"/>
        <item x="309"/>
        <item x="204"/>
        <item x="88"/>
        <item x="315"/>
        <item x="168"/>
        <item x="74"/>
        <item x="106"/>
        <item x="25"/>
        <item x="96"/>
        <item x="216"/>
        <item x="149"/>
        <item x="215"/>
        <item x="27"/>
        <item x="83"/>
        <item x="316"/>
        <item x="90"/>
        <item x="102"/>
        <item x="169"/>
        <item x="76"/>
        <item x="218"/>
        <item x="207"/>
        <item x="108"/>
        <item x="89"/>
        <item x="310"/>
        <item x="151"/>
        <item x="217"/>
        <item x="107"/>
        <item x="30"/>
        <item x="28"/>
        <item x="84"/>
        <item x="295"/>
        <item x="313"/>
        <item x="150"/>
        <item x="103"/>
        <item x="77"/>
        <item x="208"/>
        <item x="311"/>
        <item x="219"/>
        <item x="91"/>
        <item x="109"/>
        <item x="31"/>
        <item x="152"/>
        <item x="209"/>
        <item x="92"/>
        <item x="110"/>
        <item x="153"/>
        <item x="293"/>
        <item x="294"/>
        <item x="290"/>
        <item x="282"/>
        <item x="283"/>
        <item x="337"/>
        <item x="280"/>
        <item x="281"/>
        <item x="0"/>
        <item x="2"/>
        <item x="3"/>
        <item x="4"/>
        <item x="45"/>
        <item x="46"/>
        <item x="47"/>
        <item x="48"/>
        <item x="11"/>
        <item x="14"/>
        <item x="17"/>
        <item x="205"/>
        <item x="180"/>
        <item x="263"/>
        <item x="264"/>
        <item x="247"/>
        <item x="268"/>
        <item x="269"/>
        <item x="1"/>
        <item x="298"/>
        <item x="300"/>
        <item x="171"/>
        <item x="174"/>
        <item x="175"/>
        <item x="5"/>
        <item x="6"/>
        <item x="7"/>
        <item x="9"/>
        <item x="10"/>
        <item x="13"/>
        <item x="16"/>
        <item x="12"/>
        <item x="15"/>
        <item x="18"/>
        <item x="147"/>
        <item x="148"/>
        <item x="124"/>
        <item x="176"/>
        <item x="177"/>
        <item x="178"/>
        <item x="179"/>
        <item x="301"/>
        <item x="302"/>
        <item x="303"/>
        <item x="304"/>
        <item x="305"/>
        <item x="246"/>
        <item x="248"/>
        <item x="38"/>
        <item x="39"/>
        <item x="287"/>
        <item x="130"/>
        <item x="131"/>
        <item x="111"/>
        <item x="308"/>
        <item x="220"/>
        <item x="221"/>
        <item x="132"/>
        <item x="133"/>
        <item x="139"/>
        <item x="140"/>
        <item x="141"/>
        <item x="142"/>
        <item x="143"/>
        <item x="144"/>
        <item x="342"/>
        <item x="343"/>
        <item x="54"/>
        <item x="332"/>
        <item x="333"/>
        <item x="334"/>
        <item x="335"/>
        <item x="336"/>
        <item x="319"/>
        <item x="318"/>
        <item x="320"/>
        <item x="321"/>
        <item x="322"/>
        <item x="323"/>
        <item x="324"/>
        <item x="325"/>
        <item x="184"/>
        <item x="23"/>
        <item x="26"/>
        <item x="29"/>
        <item x="44"/>
        <item x="56"/>
        <item x="57"/>
        <item x="64"/>
        <item x="65"/>
        <item x="66"/>
        <item x="67"/>
        <item x="68"/>
        <item x="114"/>
        <item x="115"/>
        <item x="116"/>
        <item x="118"/>
        <item x="119"/>
        <item x="120"/>
        <item x="121"/>
        <item x="122"/>
        <item x="123"/>
        <item x="128"/>
        <item x="129"/>
        <item x="134"/>
        <item x="135"/>
        <item x="136"/>
        <item x="137"/>
        <item x="138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81"/>
        <item x="182"/>
        <item x="185"/>
        <item x="186"/>
        <item x="187"/>
        <item x="188"/>
        <item x="190"/>
        <item x="19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62"/>
        <item x="265"/>
        <item x="266"/>
        <item x="275"/>
        <item x="277"/>
        <item x="278"/>
        <item x="279"/>
        <item x="284"/>
        <item x="285"/>
        <item x="296"/>
        <item x="297"/>
        <item x="326"/>
        <item x="327"/>
        <item x="328"/>
        <item x="329"/>
        <item t="default"/>
      </items>
    </pivotField>
    <pivotField axis="axisRow" showAll="0">
      <items count="135">
        <item x="32"/>
        <item x="44"/>
        <item x="112"/>
        <item x="33"/>
        <item x="43"/>
        <item x="132"/>
        <item x="41"/>
        <item x="86"/>
        <item x="34"/>
        <item x="95"/>
        <item x="19"/>
        <item x="38"/>
        <item x="39"/>
        <item x="5"/>
        <item x="111"/>
        <item x="42"/>
        <item x="35"/>
        <item x="106"/>
        <item x="88"/>
        <item x="71"/>
        <item x="133"/>
        <item x="119"/>
        <item x="6"/>
        <item x="36"/>
        <item x="63"/>
        <item x="20"/>
        <item x="90"/>
        <item x="107"/>
        <item x="61"/>
        <item x="7"/>
        <item x="87"/>
        <item x="37"/>
        <item x="128"/>
        <item x="122"/>
        <item x="54"/>
        <item x="121"/>
        <item x="21"/>
        <item x="8"/>
        <item x="45"/>
        <item x="83"/>
        <item x="120"/>
        <item x="9"/>
        <item x="1"/>
        <item x="22"/>
        <item x="23"/>
        <item x="78"/>
        <item x="46"/>
        <item x="53"/>
        <item x="10"/>
        <item x="55"/>
        <item x="64"/>
        <item x="56"/>
        <item x="47"/>
        <item x="24"/>
        <item x="26"/>
        <item x="72"/>
        <item x="77"/>
        <item x="13"/>
        <item x="12"/>
        <item x="123"/>
        <item x="25"/>
        <item x="29"/>
        <item x="27"/>
        <item x="48"/>
        <item x="14"/>
        <item x="16"/>
        <item x="91"/>
        <item x="15"/>
        <item x="124"/>
        <item x="28"/>
        <item x="50"/>
        <item x="30"/>
        <item x="126"/>
        <item x="49"/>
        <item x="69"/>
        <item x="125"/>
        <item x="18"/>
        <item x="92"/>
        <item x="89"/>
        <item x="31"/>
        <item x="51"/>
        <item x="70"/>
        <item x="52"/>
        <item x="118"/>
        <item x="117"/>
        <item x="113"/>
        <item x="131"/>
        <item x="0"/>
        <item x="98"/>
        <item x="2"/>
        <item x="3"/>
        <item x="4"/>
        <item x="11"/>
        <item x="17"/>
        <item x="108"/>
        <item x="109"/>
        <item x="96"/>
        <item x="110"/>
        <item x="82"/>
        <item x="84"/>
        <item x="60"/>
        <item x="62"/>
        <item x="65"/>
        <item x="66"/>
        <item x="67"/>
        <item x="68"/>
        <item x="73"/>
        <item x="57"/>
        <item x="58"/>
        <item x="59"/>
        <item x="105"/>
        <item x="85"/>
        <item x="93"/>
        <item x="114"/>
        <item x="115"/>
        <item x="116"/>
        <item x="129"/>
        <item x="130"/>
        <item x="97"/>
        <item x="127"/>
        <item x="40"/>
        <item x="74"/>
        <item x="75"/>
        <item x="76"/>
        <item x="79"/>
        <item x="80"/>
        <item x="81"/>
        <item x="94"/>
        <item x="99"/>
        <item x="100"/>
        <item x="101"/>
        <item x="102"/>
        <item x="103"/>
        <item x="104"/>
        <item t="default"/>
      </items>
    </pivotField>
    <pivotField showAll="0"/>
    <pivotField showAll="0"/>
    <pivotField showAll="0"/>
    <pivotField axis="axisRow" showAll="0">
      <items count="10">
        <item x="4"/>
        <item x="6"/>
        <item x="3"/>
        <item x="5"/>
        <item x="2"/>
        <item x="1"/>
        <item x="8"/>
        <item x="0"/>
        <item x="7"/>
        <item t="default"/>
      </items>
    </pivotField>
    <pivotField axis="axisRow" showAll="0">
      <items count="11">
        <item x="8"/>
        <item x="1"/>
        <item x="2"/>
        <item x="4"/>
        <item x="3"/>
        <item x="9"/>
        <item x="6"/>
        <item x="0"/>
        <item x="5"/>
        <item x="7"/>
        <item t="default"/>
      </items>
    </pivotField>
    <pivotField axis="axisRow" showAll="0">
      <items count="13">
        <item x="10"/>
        <item x="1"/>
        <item x="11"/>
        <item x="7"/>
        <item x="4"/>
        <item x="2"/>
        <item x="3"/>
        <item x="8"/>
        <item x="5"/>
        <item x="9"/>
        <item x="6"/>
        <item x="0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9">
        <item x="16"/>
        <item x="12"/>
        <item x="17"/>
        <item x="4"/>
        <item x="13"/>
        <item x="14"/>
        <item x="1"/>
        <item x="5"/>
        <item x="2"/>
        <item x="3"/>
        <item x="11"/>
        <item x="10"/>
        <item x="9"/>
        <item x="8"/>
        <item x="7"/>
        <item x="15"/>
        <item x="0"/>
        <item x="6"/>
        <item t="default"/>
      </items>
    </pivotField>
    <pivotField showAll="0"/>
    <pivotField showAll="0"/>
    <pivotField showAll="0"/>
    <pivotField axis="axisRow" showAll="0">
      <items count="31">
        <item x="29"/>
        <item x="1"/>
        <item x="6"/>
        <item x="2"/>
        <item x="3"/>
        <item x="0"/>
        <item x="4"/>
        <item x="5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t="default"/>
      </items>
    </pivotField>
    <pivotField showAll="0"/>
    <pivotField showAll="0"/>
    <pivotField axis="axisRow" showAll="0">
      <items count="302">
        <item x="271"/>
        <item x="300"/>
        <item x="236"/>
        <item x="275"/>
        <item x="44"/>
        <item x="46"/>
        <item x="256"/>
        <item x="242"/>
        <item x="252"/>
        <item x="277"/>
        <item x="244"/>
        <item x="148"/>
        <item x="51"/>
        <item x="268"/>
        <item x="145"/>
        <item x="257"/>
        <item x="253"/>
        <item x="297"/>
        <item x="264"/>
        <item x="254"/>
        <item x="160"/>
        <item x="200"/>
        <item x="199"/>
        <item x="205"/>
        <item x="128"/>
        <item x="154"/>
        <item x="149"/>
        <item x="165"/>
        <item x="167"/>
        <item x="164"/>
        <item x="255"/>
        <item x="54"/>
        <item x="163"/>
        <item x="166"/>
        <item x="94"/>
        <item x="92"/>
        <item x="159"/>
        <item x="168"/>
        <item x="183"/>
        <item x="172"/>
        <item x="184"/>
        <item x="239"/>
        <item x="155"/>
        <item x="150"/>
        <item x="171"/>
        <item x="175"/>
        <item x="169"/>
        <item x="173"/>
        <item x="260"/>
        <item x="170"/>
        <item x="174"/>
        <item x="95"/>
        <item x="93"/>
        <item x="55"/>
        <item x="176"/>
        <item x="185"/>
        <item x="180"/>
        <item x="294"/>
        <item x="259"/>
        <item x="179"/>
        <item x="182"/>
        <item x="177"/>
        <item x="156"/>
        <item x="151"/>
        <item x="178"/>
        <item x="181"/>
        <item x="261"/>
        <item x="71"/>
        <item x="72"/>
        <item x="105"/>
        <item x="96"/>
        <item x="70"/>
        <item x="272"/>
        <item x="281"/>
        <item x="42"/>
        <item x="238"/>
        <item x="126"/>
        <item x="241"/>
        <item x="53"/>
        <item x="280"/>
        <item x="161"/>
        <item x="202"/>
        <item x="201"/>
        <item x="206"/>
        <item x="207"/>
        <item x="210"/>
        <item x="212"/>
        <item x="130"/>
        <item x="100"/>
        <item x="62"/>
        <item x="214"/>
        <item x="276"/>
        <item x="215"/>
        <item x="194"/>
        <item x="193"/>
        <item x="196"/>
        <item x="195"/>
        <item x="197"/>
        <item x="198"/>
        <item x="158"/>
        <item x="153"/>
        <item x="127"/>
        <item x="262"/>
        <item x="74"/>
        <item x="75"/>
        <item x="76"/>
        <item x="97"/>
        <item x="73"/>
        <item x="216"/>
        <item x="291"/>
        <item x="288"/>
        <item x="43"/>
        <item x="243"/>
        <item x="45"/>
        <item x="84"/>
        <item x="56"/>
        <item x="162"/>
        <item x="204"/>
        <item x="273"/>
        <item x="203"/>
        <item x="208"/>
        <item x="209"/>
        <item x="211"/>
        <item x="213"/>
        <item x="248"/>
        <item x="295"/>
        <item x="131"/>
        <item x="299"/>
        <item x="65"/>
        <item x="111"/>
        <item x="113"/>
        <item x="66"/>
        <item x="115"/>
        <item x="101"/>
        <item x="63"/>
        <item x="284"/>
        <item x="285"/>
        <item x="286"/>
        <item x="282"/>
        <item x="289"/>
        <item x="237"/>
        <item x="245"/>
        <item x="4"/>
        <item x="79"/>
        <item x="80"/>
        <item x="116"/>
        <item x="77"/>
        <item x="67"/>
        <item x="112"/>
        <item x="114"/>
        <item x="68"/>
        <item x="69"/>
        <item x="102"/>
        <item x="64"/>
        <item x="290"/>
        <item x="57"/>
        <item x="251"/>
        <item x="296"/>
        <item x="298"/>
        <item x="81"/>
        <item x="82"/>
        <item x="83"/>
        <item x="274"/>
        <item x="117"/>
        <item x="78"/>
        <item x="283"/>
        <item x="292"/>
        <item x="240"/>
        <item x="0"/>
        <item x="1"/>
        <item x="2"/>
        <item x="3"/>
        <item x="132"/>
        <item x="133"/>
        <item x="152"/>
        <item x="157"/>
        <item x="38"/>
        <item x="39"/>
        <item x="40"/>
        <item x="41"/>
        <item x="186"/>
        <item x="187"/>
        <item x="188"/>
        <item x="189"/>
        <item x="190"/>
        <item x="191"/>
        <item x="192"/>
        <item x="246"/>
        <item x="247"/>
        <item x="50"/>
        <item x="85"/>
        <item x="86"/>
        <item x="129"/>
        <item x="134"/>
        <item x="135"/>
        <item x="118"/>
        <item x="119"/>
        <item x="91"/>
        <item x="136"/>
        <item x="137"/>
        <item x="138"/>
        <item x="139"/>
        <item x="140"/>
        <item x="141"/>
        <item x="142"/>
        <item x="143"/>
        <item x="235"/>
        <item x="293"/>
        <item x="258"/>
        <item x="265"/>
        <item x="266"/>
        <item x="267"/>
        <item x="287"/>
        <item x="144"/>
        <item x="52"/>
        <item x="47"/>
        <item x="48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49"/>
        <item x="58"/>
        <item x="59"/>
        <item x="60"/>
        <item x="61"/>
        <item x="87"/>
        <item x="88"/>
        <item x="89"/>
        <item x="90"/>
        <item x="98"/>
        <item x="99"/>
        <item x="103"/>
        <item x="104"/>
        <item x="106"/>
        <item x="107"/>
        <item x="108"/>
        <item x="109"/>
        <item x="110"/>
        <item x="120"/>
        <item x="121"/>
        <item x="122"/>
        <item x="123"/>
        <item x="124"/>
        <item x="125"/>
        <item x="146"/>
        <item x="147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49"/>
        <item x="250"/>
        <item x="263"/>
        <item x="269"/>
        <item x="270"/>
        <item x="278"/>
        <item x="279"/>
        <item t="default"/>
      </items>
    </pivotField>
    <pivotField showAll="0"/>
    <pivotField axis="axisRow" showAll="0">
      <items count="102">
        <item x="87"/>
        <item x="85"/>
        <item x="83"/>
        <item x="18"/>
        <item x="16"/>
        <item x="19"/>
        <item x="59"/>
        <item x="12"/>
        <item x="11"/>
        <item x="14"/>
        <item x="17"/>
        <item x="44"/>
        <item x="51"/>
        <item x="43"/>
        <item x="38"/>
        <item x="70"/>
        <item x="82"/>
        <item x="36"/>
        <item x="92"/>
        <item x="5"/>
        <item x="22"/>
        <item x="15"/>
        <item x="33"/>
        <item x="9"/>
        <item x="54"/>
        <item x="24"/>
        <item x="23"/>
        <item x="100"/>
        <item x="6"/>
        <item x="25"/>
        <item x="60"/>
        <item x="13"/>
        <item x="7"/>
        <item x="10"/>
        <item x="34"/>
        <item x="45"/>
        <item x="64"/>
        <item x="35"/>
        <item x="93"/>
        <item x="31"/>
        <item x="37"/>
        <item x="61"/>
        <item x="98"/>
        <item x="63"/>
        <item x="94"/>
        <item x="26"/>
        <item x="49"/>
        <item x="62"/>
        <item x="32"/>
        <item x="65"/>
        <item x="28"/>
        <item x="27"/>
        <item x="95"/>
        <item x="1"/>
        <item x="66"/>
        <item x="50"/>
        <item x="29"/>
        <item x="2"/>
        <item x="96"/>
        <item x="67"/>
        <item x="3"/>
        <item x="91"/>
        <item x="30"/>
        <item x="4"/>
        <item x="89"/>
        <item x="90"/>
        <item x="88"/>
        <item x="0"/>
        <item x="55"/>
        <item x="56"/>
        <item x="8"/>
        <item x="57"/>
        <item x="58"/>
        <item x="52"/>
        <item x="53"/>
        <item x="42"/>
        <item x="86"/>
        <item x="84"/>
        <item x="97"/>
        <item x="99"/>
        <item x="20"/>
        <item x="21"/>
        <item x="39"/>
        <item x="40"/>
        <item x="41"/>
        <item x="46"/>
        <item x="47"/>
        <item x="48"/>
        <item x="68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t="default"/>
      </items>
    </pivotField>
    <pivotField axis="axisRow" showAll="0">
      <items count="16">
        <item x="13"/>
        <item x="5"/>
        <item x="7"/>
        <item x="6"/>
        <item x="3"/>
        <item x="4"/>
        <item x="14"/>
        <item x="8"/>
        <item x="2"/>
        <item x="0"/>
        <item x="1"/>
        <item x="11"/>
        <item x="9"/>
        <item x="10"/>
        <item x="12"/>
        <item t="default"/>
      </items>
    </pivotField>
    <pivotField showAll="0"/>
  </pivotFields>
  <rowFields count="11">
    <field x="0"/>
    <field x="2"/>
    <field x="1"/>
    <field x="7"/>
    <field x="6"/>
    <field x="8"/>
    <field x="21"/>
    <field x="23"/>
    <field x="24"/>
    <field x="18"/>
    <field x="14"/>
  </rowFields>
  <rowItems count="12">
    <i>
      <x v="3"/>
    </i>
    <i r="1">
      <x v="24"/>
    </i>
    <i r="2">
      <x v="65"/>
    </i>
    <i r="3">
      <x v="4"/>
    </i>
    <i r="4">
      <x v="5"/>
    </i>
    <i r="5">
      <x v="5"/>
    </i>
    <i r="6">
      <x v="9"/>
    </i>
    <i r="7">
      <x v="20"/>
    </i>
    <i r="8">
      <x v="8"/>
    </i>
    <i r="9">
      <x v="1"/>
    </i>
    <i r="10">
      <x v="8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zakaz@gcsvt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gcsvt.ru/" TargetMode="External"/><Relationship Id="rId1" Type="http://schemas.openxmlformats.org/officeDocument/2006/relationships/hyperlink" Target="mailto:info@gcsvt.r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gcsvt.ru/" TargetMode="External"/><Relationship Id="rId1" Type="http://schemas.openxmlformats.org/officeDocument/2006/relationships/hyperlink" Target="mailto:info@gcsvt.ru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://www.gcsvt.ru/" TargetMode="External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1:AJ1666"/>
  <sheetViews>
    <sheetView zoomScale="85" zoomScaleNormal="85" workbookViewId="0">
      <pane xSplit="3" ySplit="2" topLeftCell="I4" activePane="bottomRight" state="frozen"/>
      <selection pane="topRight" activeCell="D1" sqref="D1"/>
      <selection pane="bottomLeft" activeCell="A3" sqref="A3"/>
      <selection pane="bottomRight"/>
    </sheetView>
  </sheetViews>
  <sheetFormatPr defaultRowHeight="15" outlineLevelRow="2" outlineLevelCol="1" x14ac:dyDescent="0.25"/>
  <cols>
    <col min="1" max="1" width="36.28515625" style="177" customWidth="1"/>
    <col min="2" max="2" width="29.85546875" style="177" customWidth="1"/>
    <col min="3" max="3" width="50.5703125" style="190" customWidth="1"/>
    <col min="4" max="4" width="35.42578125" style="177" customWidth="1"/>
    <col min="5" max="6" width="9.140625" style="177"/>
    <col min="7" max="7" width="18.5703125" style="177" customWidth="1"/>
    <col min="8" max="8" width="15.85546875" style="177" customWidth="1"/>
    <col min="9" max="9" width="9.140625" style="177"/>
    <col min="10" max="10" width="9.140625" style="177" customWidth="1" collapsed="1"/>
    <col min="11" max="11" width="17.7109375" style="177" hidden="1" customWidth="1" outlineLevel="1"/>
    <col min="12" max="12" width="9.140625" style="177" hidden="1" customWidth="1" outlineLevel="1"/>
    <col min="13" max="13" width="19.7109375" style="177" hidden="1" customWidth="1" outlineLevel="1"/>
    <col min="14" max="14" width="9.140625" style="177" hidden="1" customWidth="1" outlineLevel="1"/>
    <col min="15" max="15" width="27.5703125" style="177" hidden="1" customWidth="1" outlineLevel="1"/>
    <col min="16" max="16" width="9.140625" style="177" hidden="1" customWidth="1" outlineLevel="1"/>
    <col min="17" max="17" width="14.85546875" style="177" hidden="1" customWidth="1" outlineLevel="1"/>
    <col min="18" max="18" width="9.140625" style="177" hidden="1" customWidth="1" outlineLevel="1"/>
    <col min="19" max="19" width="31.5703125" style="177" hidden="1" customWidth="1" outlineLevel="1"/>
    <col min="20" max="21" width="9.140625" style="177" hidden="1" customWidth="1" outlineLevel="1"/>
    <col min="22" max="22" width="18.28515625" style="177" hidden="1" customWidth="1" outlineLevel="1"/>
    <col min="23" max="23" width="14.5703125" style="177" hidden="1" customWidth="1" outlineLevel="1"/>
    <col min="24" max="24" width="13.85546875" style="177" hidden="1" customWidth="1" outlineLevel="1"/>
    <col min="25" max="25" width="13.7109375" style="177" hidden="1" customWidth="1" outlineLevel="1"/>
    <col min="26" max="26" width="9.140625" style="177" hidden="1" customWidth="1" outlineLevel="1"/>
    <col min="27" max="27" width="15" style="177" hidden="1" customWidth="1" outlineLevel="1"/>
    <col min="28" max="28" width="11.28515625" style="177" hidden="1" customWidth="1" outlineLevel="1"/>
    <col min="29" max="29" width="11" style="232" customWidth="1"/>
    <col min="30" max="16384" width="9.140625" style="177"/>
  </cols>
  <sheetData>
    <row r="1" spans="1:30" s="154" customFormat="1" ht="42.75" customHeight="1" x14ac:dyDescent="0.25">
      <c r="A1" s="191"/>
      <c r="B1" s="192" t="s">
        <v>4013</v>
      </c>
      <c r="C1" s="211" t="s">
        <v>4014</v>
      </c>
      <c r="D1" s="193" t="s">
        <v>4015</v>
      </c>
      <c r="E1" s="52" t="s">
        <v>4640</v>
      </c>
      <c r="F1" s="49"/>
      <c r="G1" s="49"/>
      <c r="H1" s="49"/>
      <c r="I1" s="165"/>
      <c r="J1" s="165"/>
      <c r="K1" s="158"/>
      <c r="L1" s="165"/>
      <c r="M1" s="158"/>
      <c r="N1" s="165"/>
      <c r="O1" s="158"/>
      <c r="P1" s="165"/>
      <c r="Q1" s="158"/>
      <c r="R1" s="165"/>
      <c r="S1" s="165"/>
      <c r="T1" s="165"/>
      <c r="U1" s="165"/>
      <c r="V1" s="158"/>
      <c r="W1" s="158"/>
      <c r="X1" s="165"/>
      <c r="Y1" s="165"/>
      <c r="Z1" s="165"/>
      <c r="AA1" s="165"/>
      <c r="AB1" s="165"/>
      <c r="AC1" s="222"/>
      <c r="AD1" s="194"/>
    </row>
    <row r="2" spans="1:30" s="154" customFormat="1" ht="44.25" customHeight="1" x14ac:dyDescent="0.25">
      <c r="A2" s="209" t="s">
        <v>0</v>
      </c>
      <c r="B2" s="209" t="s">
        <v>58</v>
      </c>
      <c r="C2" s="209" t="s">
        <v>57</v>
      </c>
      <c r="D2" s="209" t="s">
        <v>56</v>
      </c>
      <c r="E2" s="209" t="s">
        <v>55</v>
      </c>
      <c r="F2" s="209" t="s">
        <v>54</v>
      </c>
      <c r="G2" s="209" t="s">
        <v>53</v>
      </c>
      <c r="H2" s="209" t="s">
        <v>52</v>
      </c>
      <c r="I2" s="209" t="s">
        <v>51</v>
      </c>
      <c r="J2" s="209" t="s">
        <v>50</v>
      </c>
      <c r="K2" s="209" t="s">
        <v>49</v>
      </c>
      <c r="L2" s="209" t="s">
        <v>48</v>
      </c>
      <c r="M2" s="209" t="s">
        <v>47</v>
      </c>
      <c r="N2" s="209" t="s">
        <v>46</v>
      </c>
      <c r="O2" s="209" t="s">
        <v>45</v>
      </c>
      <c r="P2" s="209" t="s">
        <v>44</v>
      </c>
      <c r="Q2" s="209" t="s">
        <v>43</v>
      </c>
      <c r="R2" s="209" t="s">
        <v>42</v>
      </c>
      <c r="S2" s="209" t="s">
        <v>41</v>
      </c>
      <c r="T2" s="209" t="s">
        <v>40</v>
      </c>
      <c r="U2" s="209" t="s">
        <v>39</v>
      </c>
      <c r="V2" s="209" t="s">
        <v>38</v>
      </c>
      <c r="W2" s="209" t="s">
        <v>37</v>
      </c>
      <c r="X2" s="209" t="s">
        <v>36</v>
      </c>
      <c r="Y2" s="209" t="s">
        <v>35</v>
      </c>
      <c r="Z2" s="209" t="s">
        <v>34</v>
      </c>
      <c r="AA2" s="209" t="s">
        <v>33</v>
      </c>
      <c r="AB2" s="209" t="s">
        <v>32</v>
      </c>
      <c r="AC2" s="223" t="s">
        <v>31</v>
      </c>
      <c r="AD2" s="210" t="s">
        <v>30</v>
      </c>
    </row>
    <row r="3" spans="1:30" s="161" customFormat="1" ht="39.950000000000003" customHeight="1" x14ac:dyDescent="0.25">
      <c r="A3" s="207" t="s">
        <v>3989</v>
      </c>
      <c r="B3" s="182"/>
      <c r="C3" s="200"/>
      <c r="D3" s="174"/>
      <c r="E3" s="174"/>
      <c r="F3" s="174"/>
      <c r="G3" s="174"/>
      <c r="H3" s="174"/>
      <c r="I3" s="174"/>
      <c r="J3" s="174"/>
      <c r="K3" s="113"/>
      <c r="L3" s="174"/>
      <c r="M3" s="113"/>
      <c r="N3" s="174"/>
      <c r="O3" s="113"/>
      <c r="P3" s="174"/>
      <c r="Q3" s="113"/>
      <c r="R3" s="174"/>
      <c r="S3" s="174"/>
      <c r="T3" s="174"/>
      <c r="U3" s="174"/>
      <c r="V3" s="113"/>
      <c r="W3" s="113"/>
      <c r="X3" s="174"/>
      <c r="Y3" s="174"/>
      <c r="Z3" s="174"/>
      <c r="AA3" s="174"/>
      <c r="AB3" s="174"/>
      <c r="AC3" s="224"/>
      <c r="AD3" s="175"/>
    </row>
    <row r="4" spans="1:30" s="161" customFormat="1" ht="39.950000000000003" customHeight="1" x14ac:dyDescent="0.25">
      <c r="A4" s="101"/>
      <c r="B4" s="197" t="s">
        <v>4003</v>
      </c>
      <c r="C4" s="179"/>
      <c r="D4" s="163"/>
      <c r="E4" s="163"/>
      <c r="F4" s="163"/>
      <c r="G4" s="163"/>
      <c r="H4" s="163"/>
      <c r="I4" s="163"/>
      <c r="J4" s="163"/>
      <c r="K4" s="75"/>
      <c r="L4" s="163"/>
      <c r="M4" s="75"/>
      <c r="N4" s="163"/>
      <c r="O4" s="75"/>
      <c r="P4" s="163"/>
      <c r="Q4" s="75"/>
      <c r="R4" s="163"/>
      <c r="S4" s="163"/>
      <c r="T4" s="163"/>
      <c r="U4" s="163"/>
      <c r="V4" s="75"/>
      <c r="W4" s="75"/>
      <c r="X4" s="163"/>
      <c r="Y4" s="163"/>
      <c r="Z4" s="163"/>
      <c r="AA4" s="163"/>
      <c r="AB4" s="163"/>
      <c r="AC4" s="225"/>
      <c r="AD4" s="164"/>
    </row>
    <row r="5" spans="1:30" s="165" customFormat="1" ht="39.950000000000003" customHeight="1" outlineLevel="1" x14ac:dyDescent="0.25">
      <c r="A5" s="6"/>
      <c r="B5" s="158" t="s">
        <v>2898</v>
      </c>
      <c r="C5" s="201" t="s">
        <v>2878</v>
      </c>
      <c r="D5" s="165">
        <v>14750</v>
      </c>
      <c r="E5" s="165">
        <v>100</v>
      </c>
      <c r="F5" s="165">
        <v>148</v>
      </c>
      <c r="G5" s="165" t="s">
        <v>2909</v>
      </c>
      <c r="H5" s="165" t="s">
        <v>2899</v>
      </c>
      <c r="I5" s="165">
        <v>67</v>
      </c>
      <c r="J5" s="165" t="s">
        <v>2325</v>
      </c>
      <c r="K5" s="23" t="s">
        <v>65</v>
      </c>
      <c r="L5" s="154" t="s">
        <v>3380</v>
      </c>
      <c r="M5" s="23" t="s">
        <v>66</v>
      </c>
      <c r="N5" s="154" t="s">
        <v>67</v>
      </c>
      <c r="O5" s="158" t="s">
        <v>2900</v>
      </c>
      <c r="P5" s="154" t="s">
        <v>109</v>
      </c>
      <c r="Q5" s="158" t="s">
        <v>1720</v>
      </c>
      <c r="R5" s="165">
        <v>80</v>
      </c>
      <c r="S5" s="165" t="s">
        <v>2905</v>
      </c>
      <c r="T5" s="165" t="s">
        <v>2901</v>
      </c>
      <c r="U5" s="154" t="s">
        <v>73</v>
      </c>
      <c r="V5" s="23" t="s">
        <v>74</v>
      </c>
      <c r="W5" s="23" t="s">
        <v>75</v>
      </c>
      <c r="X5" s="165" t="s">
        <v>2902</v>
      </c>
      <c r="Y5" s="166">
        <v>2.1042000000000002E-2</v>
      </c>
      <c r="Z5" s="165">
        <v>10</v>
      </c>
      <c r="AA5" s="154" t="s">
        <v>2929</v>
      </c>
      <c r="AB5" s="154" t="s">
        <v>114</v>
      </c>
      <c r="AC5" s="14" t="str">
        <f>HYPERLINK("https://gcsvt.ru/svetodiodnyie-svetilniki/svt-str-extreme-103w-38/","Ссылка")</f>
        <v>Ссылка</v>
      </c>
      <c r="AD5" s="162">
        <v>56490</v>
      </c>
    </row>
    <row r="6" spans="1:30" s="165" customFormat="1" ht="39.950000000000003" customHeight="1" outlineLevel="1" x14ac:dyDescent="0.25">
      <c r="A6" s="6"/>
      <c r="B6" s="158" t="s">
        <v>2898</v>
      </c>
      <c r="C6" s="201" t="s">
        <v>2879</v>
      </c>
      <c r="D6" s="165">
        <v>14750</v>
      </c>
      <c r="E6" s="165">
        <v>100</v>
      </c>
      <c r="F6" s="165">
        <v>148</v>
      </c>
      <c r="G6" s="165" t="s">
        <v>2928</v>
      </c>
      <c r="H6" s="165" t="s">
        <v>1577</v>
      </c>
      <c r="I6" s="165">
        <v>67</v>
      </c>
      <c r="J6" s="165" t="s">
        <v>2325</v>
      </c>
      <c r="K6" s="23" t="s">
        <v>65</v>
      </c>
      <c r="L6" s="154" t="s">
        <v>3380</v>
      </c>
      <c r="M6" s="23" t="s">
        <v>66</v>
      </c>
      <c r="N6" s="154" t="s">
        <v>67</v>
      </c>
      <c r="O6" s="158" t="s">
        <v>2900</v>
      </c>
      <c r="P6" s="154" t="s">
        <v>109</v>
      </c>
      <c r="Q6" s="158" t="s">
        <v>1720</v>
      </c>
      <c r="R6" s="165">
        <v>80</v>
      </c>
      <c r="S6" s="165" t="s">
        <v>2905</v>
      </c>
      <c r="T6" s="165" t="s">
        <v>2901</v>
      </c>
      <c r="U6" s="154" t="s">
        <v>73</v>
      </c>
      <c r="V6" s="23" t="s">
        <v>74</v>
      </c>
      <c r="W6" s="23" t="s">
        <v>75</v>
      </c>
      <c r="X6" s="165" t="s">
        <v>2902</v>
      </c>
      <c r="Y6" s="166">
        <v>2.1042000000000002E-2</v>
      </c>
      <c r="Z6" s="165">
        <v>10</v>
      </c>
      <c r="AA6" s="165" t="s">
        <v>2929</v>
      </c>
      <c r="AB6" s="154" t="s">
        <v>114</v>
      </c>
      <c r="AC6" s="14" t="str">
        <f>HYPERLINK("https://gcsvt.ru/svetodiodnyie-svetilniki/svt-str-extreme-103w-45/","Ссылка")</f>
        <v>Ссылка</v>
      </c>
      <c r="AD6" s="162">
        <v>56490</v>
      </c>
    </row>
    <row r="7" spans="1:30" s="165" customFormat="1" ht="39.950000000000003" customHeight="1" outlineLevel="1" x14ac:dyDescent="0.25">
      <c r="A7" s="6"/>
      <c r="B7" s="158" t="s">
        <v>2898</v>
      </c>
      <c r="C7" s="201" t="s">
        <v>2880</v>
      </c>
      <c r="D7" s="165">
        <v>14750</v>
      </c>
      <c r="E7" s="165">
        <v>100</v>
      </c>
      <c r="F7" s="165">
        <v>148</v>
      </c>
      <c r="G7" s="165" t="s">
        <v>2927</v>
      </c>
      <c r="H7" s="165" t="s">
        <v>84</v>
      </c>
      <c r="I7" s="165">
        <v>67</v>
      </c>
      <c r="J7" s="165" t="s">
        <v>2325</v>
      </c>
      <c r="K7" s="23" t="s">
        <v>65</v>
      </c>
      <c r="L7" s="154" t="s">
        <v>3380</v>
      </c>
      <c r="M7" s="23" t="s">
        <v>66</v>
      </c>
      <c r="N7" s="154" t="s">
        <v>67</v>
      </c>
      <c r="O7" s="158" t="s">
        <v>2900</v>
      </c>
      <c r="P7" s="154" t="s">
        <v>109</v>
      </c>
      <c r="Q7" s="158" t="s">
        <v>1720</v>
      </c>
      <c r="R7" s="165">
        <v>80</v>
      </c>
      <c r="S7" s="165" t="s">
        <v>2905</v>
      </c>
      <c r="T7" s="165" t="s">
        <v>2901</v>
      </c>
      <c r="U7" s="154" t="s">
        <v>73</v>
      </c>
      <c r="V7" s="23" t="s">
        <v>74</v>
      </c>
      <c r="W7" s="23" t="s">
        <v>75</v>
      </c>
      <c r="X7" s="165" t="s">
        <v>2902</v>
      </c>
      <c r="Y7" s="166">
        <v>2.1042000000000002E-2</v>
      </c>
      <c r="Z7" s="165">
        <v>10</v>
      </c>
      <c r="AA7" s="154" t="s">
        <v>2929</v>
      </c>
      <c r="AB7" s="154" t="s">
        <v>114</v>
      </c>
      <c r="AC7" s="14" t="str">
        <f>HYPERLINK("https://gcsvt.ru/svetodiodnyie-svetilniki/svt-str-extreme-103w-60/","Ссылка")</f>
        <v>Ссылка</v>
      </c>
      <c r="AD7" s="162">
        <v>56490</v>
      </c>
    </row>
    <row r="8" spans="1:30" s="165" customFormat="1" ht="39.950000000000003" customHeight="1" outlineLevel="1" x14ac:dyDescent="0.25">
      <c r="A8" s="6"/>
      <c r="B8" s="158" t="s">
        <v>2898</v>
      </c>
      <c r="C8" s="201" t="s">
        <v>2881</v>
      </c>
      <c r="D8" s="165">
        <v>14750</v>
      </c>
      <c r="E8" s="165">
        <v>100</v>
      </c>
      <c r="F8" s="165">
        <v>148</v>
      </c>
      <c r="G8" s="165" t="s">
        <v>2926</v>
      </c>
      <c r="H8" s="165" t="s">
        <v>1617</v>
      </c>
      <c r="I8" s="165">
        <v>67</v>
      </c>
      <c r="J8" s="165" t="s">
        <v>2325</v>
      </c>
      <c r="K8" s="23" t="s">
        <v>65</v>
      </c>
      <c r="L8" s="154" t="s">
        <v>3380</v>
      </c>
      <c r="M8" s="23" t="s">
        <v>66</v>
      </c>
      <c r="N8" s="154" t="s">
        <v>67</v>
      </c>
      <c r="O8" s="158" t="s">
        <v>2900</v>
      </c>
      <c r="P8" s="154" t="s">
        <v>109</v>
      </c>
      <c r="Q8" s="158" t="s">
        <v>1720</v>
      </c>
      <c r="R8" s="165">
        <v>80</v>
      </c>
      <c r="S8" s="165" t="s">
        <v>2905</v>
      </c>
      <c r="T8" s="165" t="s">
        <v>2901</v>
      </c>
      <c r="U8" s="154" t="s">
        <v>73</v>
      </c>
      <c r="V8" s="23" t="s">
        <v>74</v>
      </c>
      <c r="W8" s="23" t="s">
        <v>75</v>
      </c>
      <c r="X8" s="165" t="s">
        <v>2902</v>
      </c>
      <c r="Y8" s="166">
        <v>2.1042000000000002E-2</v>
      </c>
      <c r="Z8" s="165">
        <v>10</v>
      </c>
      <c r="AA8" s="165" t="s">
        <v>2929</v>
      </c>
      <c r="AB8" s="154" t="s">
        <v>114</v>
      </c>
      <c r="AC8" s="14" t="str">
        <f>HYPERLINK("https://gcsvt.ru/svetodiodnyie-svetilniki/svt-str-extreme-103w-90/","Ссылка")</f>
        <v>Ссылка</v>
      </c>
      <c r="AD8" s="162">
        <v>56490</v>
      </c>
    </row>
    <row r="9" spans="1:30" s="165" customFormat="1" ht="39.950000000000003" customHeight="1" outlineLevel="1" x14ac:dyDescent="0.25">
      <c r="A9" s="6"/>
      <c r="B9" s="158" t="s">
        <v>2898</v>
      </c>
      <c r="C9" s="201" t="s">
        <v>2882</v>
      </c>
      <c r="D9" s="165">
        <v>14750</v>
      </c>
      <c r="E9" s="165">
        <v>100</v>
      </c>
      <c r="F9" s="165">
        <v>148</v>
      </c>
      <c r="G9" s="165" t="s">
        <v>2925</v>
      </c>
      <c r="H9" s="165" t="s">
        <v>138</v>
      </c>
      <c r="I9" s="165">
        <v>67</v>
      </c>
      <c r="J9" s="165" t="s">
        <v>2325</v>
      </c>
      <c r="K9" s="23" t="s">
        <v>65</v>
      </c>
      <c r="L9" s="154" t="s">
        <v>3380</v>
      </c>
      <c r="M9" s="23" t="s">
        <v>66</v>
      </c>
      <c r="N9" s="154" t="s">
        <v>67</v>
      </c>
      <c r="O9" s="158" t="s">
        <v>2900</v>
      </c>
      <c r="P9" s="154" t="s">
        <v>109</v>
      </c>
      <c r="Q9" s="158" t="s">
        <v>1720</v>
      </c>
      <c r="R9" s="165">
        <v>80</v>
      </c>
      <c r="S9" s="165" t="s">
        <v>2905</v>
      </c>
      <c r="T9" s="165" t="s">
        <v>2901</v>
      </c>
      <c r="U9" s="154" t="s">
        <v>73</v>
      </c>
      <c r="V9" s="23" t="s">
        <v>74</v>
      </c>
      <c r="W9" s="23" t="s">
        <v>75</v>
      </c>
      <c r="X9" s="165" t="s">
        <v>2902</v>
      </c>
      <c r="Y9" s="166">
        <v>2.1042000000000002E-2</v>
      </c>
      <c r="Z9" s="165">
        <v>10</v>
      </c>
      <c r="AA9" s="154" t="s">
        <v>2929</v>
      </c>
      <c r="AB9" s="154" t="s">
        <v>114</v>
      </c>
      <c r="AC9" s="14" t="str">
        <f>HYPERLINK("https://gcsvt.ru/svetodiodnyie-svetilniki/svt-str-extreme-103w-120/","Ссылка")</f>
        <v>Ссылка</v>
      </c>
      <c r="AD9" s="162">
        <v>56490</v>
      </c>
    </row>
    <row r="10" spans="1:30" s="165" customFormat="1" ht="39.950000000000003" customHeight="1" outlineLevel="1" x14ac:dyDescent="0.25">
      <c r="A10" s="6"/>
      <c r="B10" s="158" t="s">
        <v>2898</v>
      </c>
      <c r="C10" s="201" t="s">
        <v>2883</v>
      </c>
      <c r="D10" s="165">
        <v>22156</v>
      </c>
      <c r="E10" s="165">
        <v>154</v>
      </c>
      <c r="F10" s="165">
        <v>143</v>
      </c>
      <c r="G10" s="165" t="s">
        <v>2924</v>
      </c>
      <c r="H10" s="165" t="s">
        <v>2899</v>
      </c>
      <c r="I10" s="165">
        <v>67</v>
      </c>
      <c r="J10" s="165" t="s">
        <v>2325</v>
      </c>
      <c r="K10" s="23" t="s">
        <v>65</v>
      </c>
      <c r="L10" s="154" t="s">
        <v>3380</v>
      </c>
      <c r="M10" s="23" t="s">
        <v>66</v>
      </c>
      <c r="N10" s="154" t="s">
        <v>67</v>
      </c>
      <c r="O10" s="158" t="s">
        <v>2900</v>
      </c>
      <c r="P10" s="154" t="s">
        <v>109</v>
      </c>
      <c r="Q10" s="158" t="s">
        <v>1720</v>
      </c>
      <c r="R10" s="165">
        <v>80</v>
      </c>
      <c r="S10" s="165" t="s">
        <v>2906</v>
      </c>
      <c r="T10" s="165" t="s">
        <v>2901</v>
      </c>
      <c r="U10" s="154" t="s">
        <v>73</v>
      </c>
      <c r="V10" s="23" t="s">
        <v>74</v>
      </c>
      <c r="W10" s="23" t="s">
        <v>75</v>
      </c>
      <c r="X10" s="165" t="s">
        <v>2903</v>
      </c>
      <c r="Y10" s="166">
        <v>2.8601999999999999E-2</v>
      </c>
      <c r="Z10" s="165">
        <v>12</v>
      </c>
      <c r="AA10" s="165" t="s">
        <v>2929</v>
      </c>
      <c r="AB10" s="154" t="s">
        <v>114</v>
      </c>
      <c r="AC10" s="14" t="str">
        <f>HYPERLINK("https://gcsvt.ru/svetodiodnyie-svetilniki/svt-str-extreme-154w-38/","Ссылка")</f>
        <v>Ссылка</v>
      </c>
      <c r="AD10" s="162">
        <v>70724</v>
      </c>
    </row>
    <row r="11" spans="1:30" s="165" customFormat="1" ht="39.950000000000003" customHeight="1" outlineLevel="1" x14ac:dyDescent="0.25">
      <c r="A11" s="6"/>
      <c r="B11" s="158" t="s">
        <v>2898</v>
      </c>
      <c r="C11" s="201" t="s">
        <v>2884</v>
      </c>
      <c r="D11" s="165">
        <v>22156</v>
      </c>
      <c r="E11" s="165">
        <v>154</v>
      </c>
      <c r="F11" s="165">
        <v>143</v>
      </c>
      <c r="G11" s="165" t="s">
        <v>2923</v>
      </c>
      <c r="H11" s="165" t="s">
        <v>1577</v>
      </c>
      <c r="I11" s="165">
        <v>67</v>
      </c>
      <c r="J11" s="165" t="s">
        <v>2325</v>
      </c>
      <c r="K11" s="23" t="s">
        <v>65</v>
      </c>
      <c r="L11" s="154" t="s">
        <v>3380</v>
      </c>
      <c r="M11" s="23" t="s">
        <v>66</v>
      </c>
      <c r="N11" s="154" t="s">
        <v>67</v>
      </c>
      <c r="O11" s="158" t="s">
        <v>2900</v>
      </c>
      <c r="P11" s="154" t="s">
        <v>109</v>
      </c>
      <c r="Q11" s="158" t="s">
        <v>1720</v>
      </c>
      <c r="R11" s="165">
        <v>80</v>
      </c>
      <c r="S11" s="165" t="s">
        <v>2906</v>
      </c>
      <c r="T11" s="165" t="s">
        <v>2901</v>
      </c>
      <c r="U11" s="154" t="s">
        <v>73</v>
      </c>
      <c r="V11" s="23" t="s">
        <v>74</v>
      </c>
      <c r="W11" s="23" t="s">
        <v>75</v>
      </c>
      <c r="X11" s="165" t="s">
        <v>2903</v>
      </c>
      <c r="Y11" s="166">
        <v>2.8601999999999999E-2</v>
      </c>
      <c r="Z11" s="165">
        <v>12</v>
      </c>
      <c r="AA11" s="154" t="s">
        <v>2929</v>
      </c>
      <c r="AB11" s="154" t="s">
        <v>114</v>
      </c>
      <c r="AC11" s="14" t="str">
        <f>HYPERLINK("https://gcsvt.ru/svetodiodnyie-svetilniki/svt-str-extreme-154w-45/","Ссылка")</f>
        <v>Ссылка</v>
      </c>
      <c r="AD11" s="162">
        <v>70724</v>
      </c>
    </row>
    <row r="12" spans="1:30" s="165" customFormat="1" ht="39.950000000000003" customHeight="1" outlineLevel="1" x14ac:dyDescent="0.25">
      <c r="A12" s="6"/>
      <c r="B12" s="158" t="s">
        <v>2898</v>
      </c>
      <c r="C12" s="201" t="s">
        <v>2885</v>
      </c>
      <c r="D12" s="165">
        <v>22156</v>
      </c>
      <c r="E12" s="165">
        <v>154</v>
      </c>
      <c r="F12" s="165">
        <v>143</v>
      </c>
      <c r="G12" s="165" t="s">
        <v>2922</v>
      </c>
      <c r="H12" s="165" t="s">
        <v>84</v>
      </c>
      <c r="I12" s="165">
        <v>67</v>
      </c>
      <c r="J12" s="165" t="s">
        <v>2325</v>
      </c>
      <c r="K12" s="23" t="s">
        <v>65</v>
      </c>
      <c r="L12" s="154" t="s">
        <v>3380</v>
      </c>
      <c r="M12" s="23" t="s">
        <v>66</v>
      </c>
      <c r="N12" s="154" t="s">
        <v>67</v>
      </c>
      <c r="O12" s="158" t="s">
        <v>2900</v>
      </c>
      <c r="P12" s="154" t="s">
        <v>109</v>
      </c>
      <c r="Q12" s="158" t="s">
        <v>1720</v>
      </c>
      <c r="R12" s="165">
        <v>80</v>
      </c>
      <c r="S12" s="165" t="s">
        <v>2906</v>
      </c>
      <c r="T12" s="165" t="s">
        <v>2901</v>
      </c>
      <c r="U12" s="154" t="s">
        <v>73</v>
      </c>
      <c r="V12" s="23" t="s">
        <v>74</v>
      </c>
      <c r="W12" s="23" t="s">
        <v>75</v>
      </c>
      <c r="X12" s="165" t="s">
        <v>2903</v>
      </c>
      <c r="Y12" s="166">
        <v>2.8601999999999999E-2</v>
      </c>
      <c r="Z12" s="165">
        <v>12</v>
      </c>
      <c r="AA12" s="165" t="s">
        <v>2929</v>
      </c>
      <c r="AB12" s="154" t="s">
        <v>114</v>
      </c>
      <c r="AC12" s="14" t="str">
        <f>HYPERLINK("https://gcsvt.ru/svetodiodnyie-svetilniki/svt-str-extreme-154w-60/","Ссылка")</f>
        <v>Ссылка</v>
      </c>
      <c r="AD12" s="162">
        <v>70724</v>
      </c>
    </row>
    <row r="13" spans="1:30" s="165" customFormat="1" ht="39.950000000000003" customHeight="1" outlineLevel="1" x14ac:dyDescent="0.25">
      <c r="A13" s="6"/>
      <c r="B13" s="158" t="s">
        <v>2898</v>
      </c>
      <c r="C13" s="201" t="s">
        <v>2886</v>
      </c>
      <c r="D13" s="165">
        <v>22156</v>
      </c>
      <c r="E13" s="165">
        <v>154</v>
      </c>
      <c r="F13" s="165">
        <v>143</v>
      </c>
      <c r="G13" s="165" t="s">
        <v>2921</v>
      </c>
      <c r="H13" s="165" t="s">
        <v>1617</v>
      </c>
      <c r="I13" s="165">
        <v>67</v>
      </c>
      <c r="J13" s="165" t="s">
        <v>2325</v>
      </c>
      <c r="K13" s="23" t="s">
        <v>65</v>
      </c>
      <c r="L13" s="154" t="s">
        <v>3380</v>
      </c>
      <c r="M13" s="23" t="s">
        <v>66</v>
      </c>
      <c r="N13" s="154" t="s">
        <v>67</v>
      </c>
      <c r="O13" s="158" t="s">
        <v>2900</v>
      </c>
      <c r="P13" s="154" t="s">
        <v>109</v>
      </c>
      <c r="Q13" s="158" t="s">
        <v>1720</v>
      </c>
      <c r="R13" s="165">
        <v>80</v>
      </c>
      <c r="S13" s="165" t="s">
        <v>2906</v>
      </c>
      <c r="T13" s="165" t="s">
        <v>2901</v>
      </c>
      <c r="U13" s="154" t="s">
        <v>73</v>
      </c>
      <c r="V13" s="23" t="s">
        <v>74</v>
      </c>
      <c r="W13" s="23" t="s">
        <v>75</v>
      </c>
      <c r="X13" s="165" t="s">
        <v>2903</v>
      </c>
      <c r="Y13" s="166">
        <v>2.8601999999999999E-2</v>
      </c>
      <c r="Z13" s="165">
        <v>12</v>
      </c>
      <c r="AA13" s="154" t="s">
        <v>2929</v>
      </c>
      <c r="AB13" s="154" t="s">
        <v>114</v>
      </c>
      <c r="AC13" s="14" t="str">
        <f>HYPERLINK("https://gcsvt.ru/svetodiodnyie-svetilniki/svt-str-extreme-154w-90/","Ссылка")</f>
        <v>Ссылка</v>
      </c>
      <c r="AD13" s="162">
        <v>70724</v>
      </c>
    </row>
    <row r="14" spans="1:30" s="165" customFormat="1" ht="39.950000000000003" customHeight="1" outlineLevel="1" x14ac:dyDescent="0.25">
      <c r="A14" s="6"/>
      <c r="B14" s="158" t="s">
        <v>2898</v>
      </c>
      <c r="C14" s="201" t="s">
        <v>2887</v>
      </c>
      <c r="D14" s="165">
        <v>22156</v>
      </c>
      <c r="E14" s="165">
        <v>154</v>
      </c>
      <c r="F14" s="165">
        <v>143</v>
      </c>
      <c r="G14" s="165" t="s">
        <v>2920</v>
      </c>
      <c r="H14" s="165" t="s">
        <v>138</v>
      </c>
      <c r="I14" s="165">
        <v>67</v>
      </c>
      <c r="J14" s="165" t="s">
        <v>2325</v>
      </c>
      <c r="K14" s="23" t="s">
        <v>65</v>
      </c>
      <c r="L14" s="154" t="s">
        <v>3380</v>
      </c>
      <c r="M14" s="23" t="s">
        <v>66</v>
      </c>
      <c r="N14" s="154" t="s">
        <v>67</v>
      </c>
      <c r="O14" s="158" t="s">
        <v>2900</v>
      </c>
      <c r="P14" s="154" t="s">
        <v>109</v>
      </c>
      <c r="Q14" s="158" t="s">
        <v>1720</v>
      </c>
      <c r="R14" s="165">
        <v>80</v>
      </c>
      <c r="S14" s="165" t="s">
        <v>2906</v>
      </c>
      <c r="T14" s="165" t="s">
        <v>2901</v>
      </c>
      <c r="U14" s="154" t="s">
        <v>73</v>
      </c>
      <c r="V14" s="23" t="s">
        <v>74</v>
      </c>
      <c r="W14" s="23" t="s">
        <v>75</v>
      </c>
      <c r="X14" s="165" t="s">
        <v>2903</v>
      </c>
      <c r="Y14" s="166">
        <v>2.8601999999999999E-2</v>
      </c>
      <c r="Z14" s="165">
        <v>12</v>
      </c>
      <c r="AA14" s="165" t="s">
        <v>2929</v>
      </c>
      <c r="AB14" s="154" t="s">
        <v>114</v>
      </c>
      <c r="AC14" s="14" t="str">
        <f>HYPERLINK("https://gcsvt.ru/svetodiodnyie-svetilniki/svt-str-extreme-154w-120/","Ссылка")</f>
        <v>Ссылка</v>
      </c>
      <c r="AD14" s="162">
        <v>70724</v>
      </c>
    </row>
    <row r="15" spans="1:30" s="165" customFormat="1" ht="39.950000000000003" customHeight="1" outlineLevel="1" x14ac:dyDescent="0.25">
      <c r="A15" s="6"/>
      <c r="B15" s="158" t="s">
        <v>2898</v>
      </c>
      <c r="C15" s="201" t="s">
        <v>2888</v>
      </c>
      <c r="D15" s="165">
        <v>29541</v>
      </c>
      <c r="E15" s="165">
        <v>205</v>
      </c>
      <c r="F15" s="165">
        <v>144</v>
      </c>
      <c r="G15" s="165" t="s">
        <v>2919</v>
      </c>
      <c r="H15" s="165" t="s">
        <v>2899</v>
      </c>
      <c r="I15" s="165">
        <v>67</v>
      </c>
      <c r="J15" s="165" t="s">
        <v>2325</v>
      </c>
      <c r="K15" s="23" t="s">
        <v>65</v>
      </c>
      <c r="L15" s="154" t="s">
        <v>3380</v>
      </c>
      <c r="M15" s="23" t="s">
        <v>66</v>
      </c>
      <c r="N15" s="154" t="s">
        <v>67</v>
      </c>
      <c r="O15" s="158" t="s">
        <v>2900</v>
      </c>
      <c r="P15" s="154" t="s">
        <v>109</v>
      </c>
      <c r="Q15" s="158" t="s">
        <v>1720</v>
      </c>
      <c r="R15" s="165">
        <v>80</v>
      </c>
      <c r="S15" s="165" t="s">
        <v>2907</v>
      </c>
      <c r="T15" s="165" t="s">
        <v>2901</v>
      </c>
      <c r="U15" s="154" t="s">
        <v>73</v>
      </c>
      <c r="V15" s="23" t="s">
        <v>74</v>
      </c>
      <c r="W15" s="23" t="s">
        <v>75</v>
      </c>
      <c r="X15" s="165" t="s">
        <v>2904</v>
      </c>
      <c r="Y15" s="166">
        <v>3.6791999999999998E-2</v>
      </c>
      <c r="Z15" s="165">
        <v>13.5</v>
      </c>
      <c r="AA15" s="154" t="s">
        <v>2929</v>
      </c>
      <c r="AB15" s="154" t="s">
        <v>114</v>
      </c>
      <c r="AC15" s="14" t="str">
        <f>HYPERLINK("https://gcsvt.ru/svetodiodnyie-svetilniki/svt-str-extreme-205w-38/","Ссылка")</f>
        <v>Ссылка</v>
      </c>
      <c r="AD15" s="162">
        <v>92316</v>
      </c>
    </row>
    <row r="16" spans="1:30" s="165" customFormat="1" ht="39.950000000000003" customHeight="1" outlineLevel="1" x14ac:dyDescent="0.25">
      <c r="A16" s="6"/>
      <c r="B16" s="158" t="s">
        <v>2898</v>
      </c>
      <c r="C16" s="201" t="s">
        <v>2889</v>
      </c>
      <c r="D16" s="165">
        <v>29541</v>
      </c>
      <c r="E16" s="165">
        <v>205</v>
      </c>
      <c r="F16" s="165">
        <v>144</v>
      </c>
      <c r="G16" s="165" t="s">
        <v>2918</v>
      </c>
      <c r="H16" s="165" t="s">
        <v>1577</v>
      </c>
      <c r="I16" s="165">
        <v>67</v>
      </c>
      <c r="J16" s="165" t="s">
        <v>2325</v>
      </c>
      <c r="K16" s="23" t="s">
        <v>65</v>
      </c>
      <c r="L16" s="154" t="s">
        <v>3380</v>
      </c>
      <c r="M16" s="23" t="s">
        <v>66</v>
      </c>
      <c r="N16" s="154" t="s">
        <v>67</v>
      </c>
      <c r="O16" s="158" t="s">
        <v>2900</v>
      </c>
      <c r="P16" s="154" t="s">
        <v>109</v>
      </c>
      <c r="Q16" s="158" t="s">
        <v>1720</v>
      </c>
      <c r="R16" s="165">
        <v>80</v>
      </c>
      <c r="S16" s="165" t="s">
        <v>2907</v>
      </c>
      <c r="T16" s="165" t="s">
        <v>2901</v>
      </c>
      <c r="U16" s="154" t="s">
        <v>73</v>
      </c>
      <c r="V16" s="23" t="s">
        <v>74</v>
      </c>
      <c r="W16" s="23" t="s">
        <v>75</v>
      </c>
      <c r="X16" s="165" t="s">
        <v>2904</v>
      </c>
      <c r="Y16" s="166">
        <v>3.6791999999999998E-2</v>
      </c>
      <c r="Z16" s="165">
        <v>13.5</v>
      </c>
      <c r="AA16" s="165" t="s">
        <v>2929</v>
      </c>
      <c r="AB16" s="154" t="s">
        <v>114</v>
      </c>
      <c r="AC16" s="14" t="str">
        <f>HYPERLINK("https://gcsvt.ru/svetodiodnyie-svetilniki/svt-str-extreme-205w-45/","Ссылка")</f>
        <v>Ссылка</v>
      </c>
      <c r="AD16" s="162">
        <v>92316</v>
      </c>
    </row>
    <row r="17" spans="1:30" s="165" customFormat="1" ht="39.950000000000003" customHeight="1" outlineLevel="1" x14ac:dyDescent="0.25">
      <c r="A17" s="6"/>
      <c r="B17" s="158" t="s">
        <v>2898</v>
      </c>
      <c r="C17" s="201" t="s">
        <v>2890</v>
      </c>
      <c r="D17" s="165">
        <v>29541</v>
      </c>
      <c r="E17" s="165">
        <v>205</v>
      </c>
      <c r="F17" s="165">
        <v>144</v>
      </c>
      <c r="G17" s="165" t="s">
        <v>2917</v>
      </c>
      <c r="H17" s="165" t="s">
        <v>84</v>
      </c>
      <c r="I17" s="165">
        <v>67</v>
      </c>
      <c r="J17" s="165" t="s">
        <v>2325</v>
      </c>
      <c r="K17" s="23" t="s">
        <v>65</v>
      </c>
      <c r="L17" s="154" t="s">
        <v>3380</v>
      </c>
      <c r="M17" s="23" t="s">
        <v>66</v>
      </c>
      <c r="N17" s="154" t="s">
        <v>67</v>
      </c>
      <c r="O17" s="158" t="s">
        <v>2900</v>
      </c>
      <c r="P17" s="154" t="s">
        <v>109</v>
      </c>
      <c r="Q17" s="158" t="s">
        <v>1720</v>
      </c>
      <c r="R17" s="165">
        <v>80</v>
      </c>
      <c r="S17" s="165" t="s">
        <v>2907</v>
      </c>
      <c r="T17" s="165" t="s">
        <v>2901</v>
      </c>
      <c r="U17" s="154" t="s">
        <v>73</v>
      </c>
      <c r="V17" s="23" t="s">
        <v>74</v>
      </c>
      <c r="W17" s="23" t="s">
        <v>75</v>
      </c>
      <c r="X17" s="165" t="s">
        <v>2904</v>
      </c>
      <c r="Y17" s="166">
        <v>3.6791999999999998E-2</v>
      </c>
      <c r="Z17" s="165">
        <v>13.5</v>
      </c>
      <c r="AA17" s="154" t="s">
        <v>2929</v>
      </c>
      <c r="AB17" s="154" t="s">
        <v>114</v>
      </c>
      <c r="AC17" s="14" t="str">
        <f>HYPERLINK("https://gcsvt.ru/svetodiodnyie-svetilniki/svt-str-extreme-205w-60/","Ссылка")</f>
        <v>Ссылка</v>
      </c>
      <c r="AD17" s="162">
        <v>92316</v>
      </c>
    </row>
    <row r="18" spans="1:30" s="165" customFormat="1" ht="39.950000000000003" customHeight="1" outlineLevel="1" x14ac:dyDescent="0.25">
      <c r="A18" s="6"/>
      <c r="B18" s="158" t="s">
        <v>2898</v>
      </c>
      <c r="C18" s="201" t="s">
        <v>2891</v>
      </c>
      <c r="D18" s="165">
        <v>29541</v>
      </c>
      <c r="E18" s="165">
        <v>205</v>
      </c>
      <c r="F18" s="165">
        <v>144</v>
      </c>
      <c r="G18" s="165" t="s">
        <v>2916</v>
      </c>
      <c r="H18" s="165" t="s">
        <v>1617</v>
      </c>
      <c r="I18" s="165">
        <v>67</v>
      </c>
      <c r="J18" s="165" t="s">
        <v>2325</v>
      </c>
      <c r="K18" s="23" t="s">
        <v>65</v>
      </c>
      <c r="L18" s="154" t="s">
        <v>3380</v>
      </c>
      <c r="M18" s="23" t="s">
        <v>66</v>
      </c>
      <c r="N18" s="154" t="s">
        <v>67</v>
      </c>
      <c r="O18" s="158" t="s">
        <v>2900</v>
      </c>
      <c r="P18" s="154" t="s">
        <v>109</v>
      </c>
      <c r="Q18" s="158" t="s">
        <v>1720</v>
      </c>
      <c r="R18" s="165">
        <v>80</v>
      </c>
      <c r="S18" s="165" t="s">
        <v>2907</v>
      </c>
      <c r="T18" s="165" t="s">
        <v>2901</v>
      </c>
      <c r="U18" s="154" t="s">
        <v>73</v>
      </c>
      <c r="V18" s="23" t="s">
        <v>74</v>
      </c>
      <c r="W18" s="23" t="s">
        <v>75</v>
      </c>
      <c r="X18" s="165" t="s">
        <v>2904</v>
      </c>
      <c r="Y18" s="166">
        <v>3.6791999999999998E-2</v>
      </c>
      <c r="Z18" s="165">
        <v>13.5</v>
      </c>
      <c r="AA18" s="165" t="s">
        <v>2929</v>
      </c>
      <c r="AB18" s="154" t="s">
        <v>114</v>
      </c>
      <c r="AC18" s="14" t="str">
        <f>HYPERLINK("https://gcsvt.ru/svetodiodnyie-svetilniki/svt-str-extreme-205w-90/","Ссылка")</f>
        <v>Ссылка</v>
      </c>
      <c r="AD18" s="162">
        <v>92316</v>
      </c>
    </row>
    <row r="19" spans="1:30" s="165" customFormat="1" ht="39.950000000000003" customHeight="1" outlineLevel="1" x14ac:dyDescent="0.25">
      <c r="A19" s="6"/>
      <c r="B19" s="158" t="s">
        <v>2898</v>
      </c>
      <c r="C19" s="201" t="s">
        <v>2892</v>
      </c>
      <c r="D19" s="165">
        <v>29541</v>
      </c>
      <c r="E19" s="165">
        <v>205</v>
      </c>
      <c r="F19" s="165">
        <v>144</v>
      </c>
      <c r="G19" s="165" t="s">
        <v>2915</v>
      </c>
      <c r="H19" s="165" t="s">
        <v>138</v>
      </c>
      <c r="I19" s="165">
        <v>67</v>
      </c>
      <c r="J19" s="165" t="s">
        <v>2325</v>
      </c>
      <c r="K19" s="23" t="s">
        <v>65</v>
      </c>
      <c r="L19" s="154" t="s">
        <v>3380</v>
      </c>
      <c r="M19" s="23" t="s">
        <v>66</v>
      </c>
      <c r="N19" s="154" t="s">
        <v>67</v>
      </c>
      <c r="O19" s="158" t="s">
        <v>2900</v>
      </c>
      <c r="P19" s="154" t="s">
        <v>109</v>
      </c>
      <c r="Q19" s="158" t="s">
        <v>1720</v>
      </c>
      <c r="R19" s="165">
        <v>80</v>
      </c>
      <c r="S19" s="165" t="s">
        <v>2907</v>
      </c>
      <c r="T19" s="165" t="s">
        <v>2901</v>
      </c>
      <c r="U19" s="154" t="s">
        <v>73</v>
      </c>
      <c r="V19" s="23" t="s">
        <v>74</v>
      </c>
      <c r="W19" s="23" t="s">
        <v>75</v>
      </c>
      <c r="X19" s="165" t="s">
        <v>2904</v>
      </c>
      <c r="Y19" s="166">
        <v>3.6791999999999998E-2</v>
      </c>
      <c r="Z19" s="165">
        <v>13.5</v>
      </c>
      <c r="AA19" s="154" t="s">
        <v>2929</v>
      </c>
      <c r="AB19" s="154" t="s">
        <v>114</v>
      </c>
      <c r="AC19" s="14" t="str">
        <f>HYPERLINK("https://gcsvt.ru/svetodiodnyie-svetilniki/svt-str-extreme-205w-120/","Ссылка")</f>
        <v>Ссылка</v>
      </c>
      <c r="AD19" s="162">
        <v>92316</v>
      </c>
    </row>
    <row r="20" spans="1:30" s="165" customFormat="1" ht="39.950000000000003" customHeight="1" outlineLevel="1" x14ac:dyDescent="0.25">
      <c r="A20" s="6"/>
      <c r="B20" s="158" t="s">
        <v>2898</v>
      </c>
      <c r="C20" s="201" t="s">
        <v>2893</v>
      </c>
      <c r="D20" s="165">
        <v>36926</v>
      </c>
      <c r="E20" s="165">
        <v>257</v>
      </c>
      <c r="F20" s="165">
        <v>143</v>
      </c>
      <c r="G20" s="165" t="s">
        <v>2914</v>
      </c>
      <c r="H20" s="165" t="s">
        <v>2899</v>
      </c>
      <c r="I20" s="165">
        <v>67</v>
      </c>
      <c r="J20" s="165" t="s">
        <v>2325</v>
      </c>
      <c r="K20" s="23" t="s">
        <v>65</v>
      </c>
      <c r="L20" s="154" t="s">
        <v>3380</v>
      </c>
      <c r="M20" s="23" t="s">
        <v>66</v>
      </c>
      <c r="N20" s="154" t="s">
        <v>67</v>
      </c>
      <c r="O20" s="158" t="s">
        <v>2900</v>
      </c>
      <c r="P20" s="154" t="s">
        <v>109</v>
      </c>
      <c r="Q20" s="158" t="s">
        <v>1720</v>
      </c>
      <c r="R20" s="165">
        <v>80</v>
      </c>
      <c r="S20" s="165" t="s">
        <v>2908</v>
      </c>
      <c r="T20" s="165" t="s">
        <v>2901</v>
      </c>
      <c r="U20" s="154" t="s">
        <v>73</v>
      </c>
      <c r="V20" s="23" t="s">
        <v>74</v>
      </c>
      <c r="W20" s="23" t="s">
        <v>75</v>
      </c>
      <c r="X20" s="165" t="s">
        <v>96</v>
      </c>
      <c r="Y20" s="166">
        <v>4.4982000000000001E-2</v>
      </c>
      <c r="Z20" s="165">
        <v>17.5</v>
      </c>
      <c r="AA20" s="165" t="s">
        <v>2929</v>
      </c>
      <c r="AB20" s="154" t="s">
        <v>114</v>
      </c>
      <c r="AC20" s="14" t="str">
        <f>HYPERLINK("https://gcsvt.ru/svetodiodnyie-svetilniki/svt-str-extreme-257w-38/","Ссылка")</f>
        <v>Ссылка</v>
      </c>
      <c r="AD20" s="162">
        <v>105900</v>
      </c>
    </row>
    <row r="21" spans="1:30" s="165" customFormat="1" ht="39.950000000000003" customHeight="1" outlineLevel="1" x14ac:dyDescent="0.25">
      <c r="A21" s="6"/>
      <c r="B21" s="158" t="s">
        <v>2898</v>
      </c>
      <c r="C21" s="201" t="s">
        <v>2894</v>
      </c>
      <c r="D21" s="165">
        <v>36926</v>
      </c>
      <c r="E21" s="165">
        <v>257</v>
      </c>
      <c r="F21" s="165">
        <v>143</v>
      </c>
      <c r="G21" s="165" t="s">
        <v>2913</v>
      </c>
      <c r="H21" s="165" t="s">
        <v>1577</v>
      </c>
      <c r="I21" s="165">
        <v>67</v>
      </c>
      <c r="J21" s="165" t="s">
        <v>2325</v>
      </c>
      <c r="K21" s="23" t="s">
        <v>65</v>
      </c>
      <c r="L21" s="154" t="s">
        <v>3380</v>
      </c>
      <c r="M21" s="23" t="s">
        <v>66</v>
      </c>
      <c r="N21" s="154" t="s">
        <v>67</v>
      </c>
      <c r="O21" s="158" t="s">
        <v>2900</v>
      </c>
      <c r="P21" s="154" t="s">
        <v>109</v>
      </c>
      <c r="Q21" s="158" t="s">
        <v>1720</v>
      </c>
      <c r="R21" s="165">
        <v>80</v>
      </c>
      <c r="S21" s="165" t="s">
        <v>2908</v>
      </c>
      <c r="T21" s="165" t="s">
        <v>2901</v>
      </c>
      <c r="U21" s="154" t="s">
        <v>73</v>
      </c>
      <c r="V21" s="23" t="s">
        <v>74</v>
      </c>
      <c r="W21" s="23" t="s">
        <v>75</v>
      </c>
      <c r="X21" s="165" t="s">
        <v>96</v>
      </c>
      <c r="Y21" s="166">
        <v>4.4982000000000001E-2</v>
      </c>
      <c r="Z21" s="165">
        <v>17.5</v>
      </c>
      <c r="AA21" s="154" t="s">
        <v>2929</v>
      </c>
      <c r="AB21" s="154" t="s">
        <v>114</v>
      </c>
      <c r="AC21" s="14" t="str">
        <f>HYPERLINK("https://gcsvt.ru/svetodiodnyie-svetilniki/svt-str-extreme-257w-45/","Ссылка")</f>
        <v>Ссылка</v>
      </c>
      <c r="AD21" s="162">
        <v>105900</v>
      </c>
    </row>
    <row r="22" spans="1:30" s="165" customFormat="1" ht="39.950000000000003" customHeight="1" outlineLevel="1" x14ac:dyDescent="0.25">
      <c r="A22" s="6"/>
      <c r="B22" s="158" t="s">
        <v>2898</v>
      </c>
      <c r="C22" s="201" t="s">
        <v>2895</v>
      </c>
      <c r="D22" s="165">
        <v>36926</v>
      </c>
      <c r="E22" s="165">
        <v>257</v>
      </c>
      <c r="F22" s="165">
        <v>143</v>
      </c>
      <c r="G22" s="165" t="s">
        <v>2912</v>
      </c>
      <c r="H22" s="165" t="s">
        <v>84</v>
      </c>
      <c r="I22" s="165">
        <v>67</v>
      </c>
      <c r="J22" s="165" t="s">
        <v>2325</v>
      </c>
      <c r="K22" s="23" t="s">
        <v>65</v>
      </c>
      <c r="L22" s="154" t="s">
        <v>3380</v>
      </c>
      <c r="M22" s="23" t="s">
        <v>66</v>
      </c>
      <c r="N22" s="154" t="s">
        <v>67</v>
      </c>
      <c r="O22" s="158" t="s">
        <v>2900</v>
      </c>
      <c r="P22" s="154" t="s">
        <v>109</v>
      </c>
      <c r="Q22" s="158" t="s">
        <v>1720</v>
      </c>
      <c r="R22" s="165">
        <v>80</v>
      </c>
      <c r="S22" s="165" t="s">
        <v>2908</v>
      </c>
      <c r="T22" s="165" t="s">
        <v>2901</v>
      </c>
      <c r="U22" s="154" t="s">
        <v>73</v>
      </c>
      <c r="V22" s="23" t="s">
        <v>74</v>
      </c>
      <c r="W22" s="23" t="s">
        <v>75</v>
      </c>
      <c r="X22" s="165" t="s">
        <v>96</v>
      </c>
      <c r="Y22" s="166">
        <v>4.4982000000000001E-2</v>
      </c>
      <c r="Z22" s="165">
        <v>17.5</v>
      </c>
      <c r="AA22" s="165" t="s">
        <v>2929</v>
      </c>
      <c r="AB22" s="154" t="s">
        <v>114</v>
      </c>
      <c r="AC22" s="14" t="str">
        <f>HYPERLINK("https://gcsvt.ru/svetodiodnyie-svetilniki/svt-str-extreme-257w-60/","Ссылка")</f>
        <v>Ссылка</v>
      </c>
      <c r="AD22" s="162">
        <v>105900</v>
      </c>
    </row>
    <row r="23" spans="1:30" s="165" customFormat="1" ht="39.950000000000003" customHeight="1" outlineLevel="1" x14ac:dyDescent="0.25">
      <c r="A23" s="6"/>
      <c r="B23" s="158" t="s">
        <v>2898</v>
      </c>
      <c r="C23" s="201" t="s">
        <v>2896</v>
      </c>
      <c r="D23" s="165">
        <v>36926</v>
      </c>
      <c r="E23" s="165">
        <v>257</v>
      </c>
      <c r="F23" s="165">
        <v>143</v>
      </c>
      <c r="G23" s="165" t="s">
        <v>2911</v>
      </c>
      <c r="H23" s="165" t="s">
        <v>1617</v>
      </c>
      <c r="I23" s="165">
        <v>67</v>
      </c>
      <c r="J23" s="165" t="s">
        <v>2325</v>
      </c>
      <c r="K23" s="23" t="s">
        <v>65</v>
      </c>
      <c r="L23" s="154" t="s">
        <v>3380</v>
      </c>
      <c r="M23" s="23" t="s">
        <v>66</v>
      </c>
      <c r="N23" s="154" t="s">
        <v>67</v>
      </c>
      <c r="O23" s="158" t="s">
        <v>2900</v>
      </c>
      <c r="P23" s="154" t="s">
        <v>109</v>
      </c>
      <c r="Q23" s="158" t="s">
        <v>1720</v>
      </c>
      <c r="R23" s="165">
        <v>80</v>
      </c>
      <c r="S23" s="165" t="s">
        <v>2908</v>
      </c>
      <c r="T23" s="165" t="s">
        <v>2901</v>
      </c>
      <c r="U23" s="154" t="s">
        <v>73</v>
      </c>
      <c r="V23" s="23" t="s">
        <v>74</v>
      </c>
      <c r="W23" s="23" t="s">
        <v>75</v>
      </c>
      <c r="X23" s="165" t="s">
        <v>96</v>
      </c>
      <c r="Y23" s="166">
        <v>4.4982000000000001E-2</v>
      </c>
      <c r="Z23" s="165">
        <v>17.5</v>
      </c>
      <c r="AA23" s="154" t="s">
        <v>2929</v>
      </c>
      <c r="AB23" s="154" t="s">
        <v>114</v>
      </c>
      <c r="AC23" s="14" t="str">
        <f>HYPERLINK("https://gcsvt.ru/svetodiodnyie-svetilniki/svt-str-extreme-257w-90/","Ссылка")</f>
        <v>Ссылка</v>
      </c>
      <c r="AD23" s="162">
        <v>105900</v>
      </c>
    </row>
    <row r="24" spans="1:30" s="165" customFormat="1" ht="39.950000000000003" customHeight="1" outlineLevel="1" x14ac:dyDescent="0.25">
      <c r="A24" s="6"/>
      <c r="B24" s="158" t="s">
        <v>2898</v>
      </c>
      <c r="C24" s="201" t="s">
        <v>2897</v>
      </c>
      <c r="D24" s="165">
        <v>36926</v>
      </c>
      <c r="E24" s="165">
        <v>257</v>
      </c>
      <c r="F24" s="165">
        <v>143</v>
      </c>
      <c r="G24" s="165" t="s">
        <v>2910</v>
      </c>
      <c r="H24" s="165" t="s">
        <v>138</v>
      </c>
      <c r="I24" s="165">
        <v>67</v>
      </c>
      <c r="J24" s="165" t="s">
        <v>2325</v>
      </c>
      <c r="K24" s="23" t="s">
        <v>65</v>
      </c>
      <c r="L24" s="154" t="s">
        <v>3380</v>
      </c>
      <c r="M24" s="23" t="s">
        <v>66</v>
      </c>
      <c r="N24" s="154" t="s">
        <v>67</v>
      </c>
      <c r="O24" s="158" t="s">
        <v>2900</v>
      </c>
      <c r="P24" s="154" t="s">
        <v>109</v>
      </c>
      <c r="Q24" s="158" t="s">
        <v>1720</v>
      </c>
      <c r="R24" s="165">
        <v>80</v>
      </c>
      <c r="S24" s="165" t="s">
        <v>2908</v>
      </c>
      <c r="T24" s="165" t="s">
        <v>2901</v>
      </c>
      <c r="U24" s="154" t="s">
        <v>73</v>
      </c>
      <c r="V24" s="23" t="s">
        <v>74</v>
      </c>
      <c r="W24" s="23" t="s">
        <v>75</v>
      </c>
      <c r="X24" s="165" t="s">
        <v>96</v>
      </c>
      <c r="Y24" s="166">
        <v>4.4982000000000001E-2</v>
      </c>
      <c r="Z24" s="165">
        <v>17.5</v>
      </c>
      <c r="AA24" s="165" t="s">
        <v>2929</v>
      </c>
      <c r="AB24" s="154" t="s">
        <v>114</v>
      </c>
      <c r="AC24" s="14" t="str">
        <f>HYPERLINK("https://gcsvt.ru/svetodiodnyie-svetilniki/svt-str-extreme-257w-120/","Ссылка")</f>
        <v>Ссылка</v>
      </c>
      <c r="AD24" s="162">
        <v>105900</v>
      </c>
    </row>
    <row r="25" spans="1:30" s="161" customFormat="1" ht="39.950000000000003" customHeight="1" collapsed="1" x14ac:dyDescent="0.25">
      <c r="A25" s="101"/>
      <c r="B25" s="195" t="s">
        <v>4002</v>
      </c>
      <c r="C25" s="179"/>
      <c r="D25" s="163"/>
      <c r="E25" s="163"/>
      <c r="F25" s="163"/>
      <c r="G25" s="163"/>
      <c r="H25" s="163"/>
      <c r="I25" s="163"/>
      <c r="J25" s="163"/>
      <c r="K25" s="75"/>
      <c r="L25" s="163"/>
      <c r="M25" s="75"/>
      <c r="N25" s="163"/>
      <c r="O25" s="75"/>
      <c r="P25" s="163"/>
      <c r="Q25" s="75"/>
      <c r="R25" s="163"/>
      <c r="S25" s="163"/>
      <c r="T25" s="163"/>
      <c r="U25" s="163"/>
      <c r="V25" s="75"/>
      <c r="W25" s="75"/>
      <c r="X25" s="163"/>
      <c r="Y25" s="178"/>
      <c r="Z25" s="163"/>
      <c r="AA25" s="163"/>
      <c r="AB25" s="163"/>
      <c r="AC25" s="227"/>
      <c r="AD25" s="164"/>
    </row>
    <row r="26" spans="1:30" s="161" customFormat="1" ht="39.950000000000003" hidden="1" customHeight="1" outlineLevel="1" collapsed="1" x14ac:dyDescent="0.25">
      <c r="A26" s="21"/>
      <c r="B26" s="196" t="s">
        <v>3481</v>
      </c>
      <c r="C26" s="212"/>
      <c r="D26" s="213"/>
      <c r="K26" s="21"/>
      <c r="M26" s="21"/>
      <c r="O26" s="21"/>
      <c r="Q26" s="21"/>
      <c r="V26" s="21"/>
      <c r="W26" s="21"/>
      <c r="AC26" s="228"/>
      <c r="AD26" s="167"/>
    </row>
    <row r="27" spans="1:30" s="161" customFormat="1" ht="39.950000000000003" hidden="1" customHeight="1" outlineLevel="2" x14ac:dyDescent="0.25">
      <c r="A27" s="21"/>
      <c r="B27" s="21" t="s">
        <v>3482</v>
      </c>
      <c r="C27" s="159" t="s">
        <v>3483</v>
      </c>
      <c r="D27" s="161">
        <v>4990</v>
      </c>
      <c r="E27" s="161">
        <v>32</v>
      </c>
      <c r="F27" s="161">
        <v>156</v>
      </c>
      <c r="G27" s="161" t="s">
        <v>3681</v>
      </c>
      <c r="H27" s="161" t="s">
        <v>138</v>
      </c>
      <c r="I27" s="161">
        <v>66</v>
      </c>
      <c r="J27" s="161" t="s">
        <v>389</v>
      </c>
      <c r="K27" s="21" t="s">
        <v>106</v>
      </c>
      <c r="L27" s="161" t="s">
        <v>3380</v>
      </c>
      <c r="M27" s="21" t="s">
        <v>2107</v>
      </c>
      <c r="N27" s="161" t="s">
        <v>67</v>
      </c>
      <c r="O27" s="21" t="s">
        <v>1553</v>
      </c>
      <c r="P27" s="161" t="s">
        <v>109</v>
      </c>
      <c r="Q27" s="21" t="s">
        <v>70</v>
      </c>
      <c r="R27" s="161">
        <v>80</v>
      </c>
      <c r="S27" s="161" t="s">
        <v>140</v>
      </c>
      <c r="T27" s="161" t="s">
        <v>141</v>
      </c>
      <c r="U27" s="161" t="s">
        <v>73</v>
      </c>
      <c r="V27" s="21" t="s">
        <v>74</v>
      </c>
      <c r="W27" s="21" t="s">
        <v>112</v>
      </c>
      <c r="X27" s="161" t="s">
        <v>3652</v>
      </c>
      <c r="Y27" s="169">
        <v>3.0717960000000003E-3</v>
      </c>
      <c r="AA27" s="161" t="s">
        <v>77</v>
      </c>
      <c r="AB27" s="161" t="s">
        <v>114</v>
      </c>
      <c r="AC27" s="266" t="str">
        <f>HYPERLINK("https://gcsvt.ru/svetodiodnyie-svetilniki/SVT-Str-MPRO-32W-Ex-MONO-120/","Ссылка")</f>
        <v>Ссылка</v>
      </c>
      <c r="AD27" s="167">
        <v>10144</v>
      </c>
    </row>
    <row r="28" spans="1:30" s="161" customFormat="1" ht="39.950000000000003" hidden="1" customHeight="1" outlineLevel="2" x14ac:dyDescent="0.25">
      <c r="A28" s="21"/>
      <c r="B28" s="21" t="s">
        <v>3482</v>
      </c>
      <c r="C28" s="159" t="s">
        <v>3484</v>
      </c>
      <c r="D28" s="161">
        <v>7790</v>
      </c>
      <c r="E28" s="161">
        <v>48</v>
      </c>
      <c r="F28" s="161">
        <v>162</v>
      </c>
      <c r="G28" s="161" t="s">
        <v>3682</v>
      </c>
      <c r="H28" s="161" t="s">
        <v>138</v>
      </c>
      <c r="I28" s="161">
        <v>66</v>
      </c>
      <c r="J28" s="161" t="s">
        <v>389</v>
      </c>
      <c r="K28" s="21" t="s">
        <v>106</v>
      </c>
      <c r="L28" s="161" t="s">
        <v>3380</v>
      </c>
      <c r="M28" s="21" t="s">
        <v>2107</v>
      </c>
      <c r="N28" s="161" t="s">
        <v>67</v>
      </c>
      <c r="O28" s="21" t="s">
        <v>1553</v>
      </c>
      <c r="P28" s="161" t="s">
        <v>109</v>
      </c>
      <c r="Q28" s="21" t="s">
        <v>70</v>
      </c>
      <c r="R28" s="161">
        <v>80</v>
      </c>
      <c r="S28" s="161" t="s">
        <v>147</v>
      </c>
      <c r="T28" s="161" t="s">
        <v>141</v>
      </c>
      <c r="U28" s="161" t="s">
        <v>73</v>
      </c>
      <c r="V28" s="21" t="s">
        <v>74</v>
      </c>
      <c r="W28" s="21" t="s">
        <v>112</v>
      </c>
      <c r="X28" s="161" t="s">
        <v>3665</v>
      </c>
      <c r="Y28" s="169">
        <v>3.8102085E-3</v>
      </c>
      <c r="AA28" s="161" t="s">
        <v>77</v>
      </c>
      <c r="AB28" s="161" t="s">
        <v>114</v>
      </c>
      <c r="AC28" s="266" t="str">
        <f>HYPERLINK("https://gcsvt.ru/svetodiodnyie-svetilniki/SVT-Str-MPRO-48W-Ex-MONO-120/","Ссылка")</f>
        <v>Ссылка</v>
      </c>
      <c r="AD28" s="167">
        <v>10557</v>
      </c>
    </row>
    <row r="29" spans="1:30" s="161" customFormat="1" ht="39.950000000000003" hidden="1" customHeight="1" outlineLevel="2" x14ac:dyDescent="0.25">
      <c r="A29" s="21"/>
      <c r="B29" s="21" t="s">
        <v>3482</v>
      </c>
      <c r="C29" s="159" t="s">
        <v>3485</v>
      </c>
      <c r="D29" s="161">
        <v>9940</v>
      </c>
      <c r="E29" s="161">
        <v>61</v>
      </c>
      <c r="F29" s="161">
        <v>163</v>
      </c>
      <c r="G29" s="161" t="s">
        <v>3683</v>
      </c>
      <c r="H29" s="161" t="s">
        <v>138</v>
      </c>
      <c r="I29" s="161">
        <v>66</v>
      </c>
      <c r="J29" s="161" t="s">
        <v>389</v>
      </c>
      <c r="K29" s="21" t="s">
        <v>106</v>
      </c>
      <c r="L29" s="161" t="s">
        <v>3380</v>
      </c>
      <c r="M29" s="21" t="s">
        <v>2107</v>
      </c>
      <c r="N29" s="161" t="s">
        <v>67</v>
      </c>
      <c r="O29" s="21" t="s">
        <v>1553</v>
      </c>
      <c r="P29" s="161" t="s">
        <v>109</v>
      </c>
      <c r="Q29" s="21" t="s">
        <v>70</v>
      </c>
      <c r="R29" s="161">
        <v>80</v>
      </c>
      <c r="S29" s="161" t="s">
        <v>151</v>
      </c>
      <c r="T29" s="161" t="s">
        <v>141</v>
      </c>
      <c r="U29" s="161" t="s">
        <v>73</v>
      </c>
      <c r="V29" s="21" t="s">
        <v>74</v>
      </c>
      <c r="W29" s="21" t="s">
        <v>112</v>
      </c>
      <c r="X29" s="161" t="s">
        <v>3666</v>
      </c>
      <c r="Y29" s="169">
        <v>4.5486210000000001E-3</v>
      </c>
      <c r="AA29" s="161" t="s">
        <v>77</v>
      </c>
      <c r="AB29" s="161" t="s">
        <v>114</v>
      </c>
      <c r="AC29" s="266" t="str">
        <f>HYPERLINK("https://gcsvt.ru/svetodiodnyie-svetilniki/SVT-Str-MPRO-61W-Ex-MONO-120/","Ссылка")</f>
        <v>Ссылка</v>
      </c>
      <c r="AD29" s="167">
        <v>11062</v>
      </c>
    </row>
    <row r="30" spans="1:30" s="161" customFormat="1" ht="39.950000000000003" hidden="1" customHeight="1" outlineLevel="2" x14ac:dyDescent="0.25">
      <c r="A30" s="21"/>
      <c r="B30" s="21" t="s">
        <v>3482</v>
      </c>
      <c r="C30" s="159" t="s">
        <v>3486</v>
      </c>
      <c r="D30" s="161">
        <v>12470</v>
      </c>
      <c r="E30" s="161">
        <v>80</v>
      </c>
      <c r="F30" s="161">
        <v>156</v>
      </c>
      <c r="G30" s="161" t="s">
        <v>3684</v>
      </c>
      <c r="H30" s="161" t="s">
        <v>138</v>
      </c>
      <c r="I30" s="161">
        <v>66</v>
      </c>
      <c r="J30" s="161" t="s">
        <v>389</v>
      </c>
      <c r="K30" s="21" t="s">
        <v>106</v>
      </c>
      <c r="L30" s="161" t="s">
        <v>3380</v>
      </c>
      <c r="M30" s="21" t="s">
        <v>2107</v>
      </c>
      <c r="N30" s="161" t="s">
        <v>67</v>
      </c>
      <c r="O30" s="21" t="s">
        <v>1553</v>
      </c>
      <c r="P30" s="161" t="s">
        <v>109</v>
      </c>
      <c r="Q30" s="21" t="s">
        <v>70</v>
      </c>
      <c r="R30" s="161">
        <v>80</v>
      </c>
      <c r="S30" s="161" t="s">
        <v>594</v>
      </c>
      <c r="T30" s="161" t="s">
        <v>141</v>
      </c>
      <c r="U30" s="161" t="s">
        <v>73</v>
      </c>
      <c r="V30" s="21" t="s">
        <v>74</v>
      </c>
      <c r="W30" s="21" t="s">
        <v>112</v>
      </c>
      <c r="X30" s="161" t="s">
        <v>3667</v>
      </c>
      <c r="Y30" s="169">
        <v>6.7638585000000008E-3</v>
      </c>
      <c r="AA30" s="161" t="s">
        <v>77</v>
      </c>
      <c r="AB30" s="161" t="s">
        <v>114</v>
      </c>
      <c r="AC30" s="266" t="str">
        <f>HYPERLINK("https://gcsvt.ru/svetodiodnyie-svetilniki/SVT-Str-MPRO-80W-Ex-MONO-120/","Ссылка")</f>
        <v>Ссылка</v>
      </c>
      <c r="AD30" s="167">
        <v>15377</v>
      </c>
    </row>
    <row r="31" spans="1:30" s="161" customFormat="1" ht="39.950000000000003" hidden="1" customHeight="1" outlineLevel="2" x14ac:dyDescent="0.25">
      <c r="A31" s="21"/>
      <c r="B31" s="21" t="s">
        <v>3482</v>
      </c>
      <c r="C31" s="159" t="s">
        <v>3487</v>
      </c>
      <c r="D31" s="161">
        <v>15690</v>
      </c>
      <c r="E31" s="161">
        <v>96</v>
      </c>
      <c r="F31" s="161">
        <v>163</v>
      </c>
      <c r="G31" s="161" t="s">
        <v>3685</v>
      </c>
      <c r="H31" s="161" t="s">
        <v>138</v>
      </c>
      <c r="I31" s="161">
        <v>66</v>
      </c>
      <c r="J31" s="161" t="s">
        <v>389</v>
      </c>
      <c r="K31" s="21" t="s">
        <v>106</v>
      </c>
      <c r="L31" s="161" t="s">
        <v>3380</v>
      </c>
      <c r="M31" s="21" t="s">
        <v>2107</v>
      </c>
      <c r="N31" s="161" t="s">
        <v>67</v>
      </c>
      <c r="O31" s="21" t="s">
        <v>1553</v>
      </c>
      <c r="P31" s="161" t="s">
        <v>109</v>
      </c>
      <c r="Q31" s="21" t="s">
        <v>70</v>
      </c>
      <c r="R31" s="161">
        <v>80</v>
      </c>
      <c r="S31" s="161" t="s">
        <v>155</v>
      </c>
      <c r="T31" s="161" t="s">
        <v>141</v>
      </c>
      <c r="U31" s="161" t="s">
        <v>73</v>
      </c>
      <c r="V31" s="21" t="s">
        <v>74</v>
      </c>
      <c r="W31" s="21" t="s">
        <v>112</v>
      </c>
      <c r="X31" s="161" t="s">
        <v>3668</v>
      </c>
      <c r="Y31" s="169">
        <v>7.5022710000000005E-3</v>
      </c>
      <c r="AA31" s="161" t="s">
        <v>77</v>
      </c>
      <c r="AB31" s="161" t="s">
        <v>114</v>
      </c>
      <c r="AC31" s="266" t="str">
        <f>HYPERLINK("https://gcsvt.ru/svetodiodnyie-svetilniki/SVT-Str-MPRO-96W-Ex-MONO-120/","Ссылка")</f>
        <v>Ссылка</v>
      </c>
      <c r="AD31" s="167">
        <v>16065</v>
      </c>
    </row>
    <row r="32" spans="1:30" s="161" customFormat="1" ht="39.950000000000003" hidden="1" customHeight="1" outlineLevel="2" x14ac:dyDescent="0.25">
      <c r="A32" s="21"/>
      <c r="B32" s="21" t="s">
        <v>3482</v>
      </c>
      <c r="C32" s="159" t="s">
        <v>3488</v>
      </c>
      <c r="D32" s="161">
        <v>19880</v>
      </c>
      <c r="E32" s="161">
        <v>122</v>
      </c>
      <c r="F32" s="161">
        <v>163</v>
      </c>
      <c r="G32" s="161" t="s">
        <v>3686</v>
      </c>
      <c r="H32" s="161" t="s">
        <v>138</v>
      </c>
      <c r="I32" s="161">
        <v>66</v>
      </c>
      <c r="J32" s="161" t="s">
        <v>389</v>
      </c>
      <c r="K32" s="21" t="s">
        <v>106</v>
      </c>
      <c r="L32" s="161" t="s">
        <v>3380</v>
      </c>
      <c r="M32" s="21" t="s">
        <v>2107</v>
      </c>
      <c r="N32" s="161" t="s">
        <v>67</v>
      </c>
      <c r="O32" s="21" t="s">
        <v>1553</v>
      </c>
      <c r="P32" s="161" t="s">
        <v>109</v>
      </c>
      <c r="Q32" s="21" t="s">
        <v>70</v>
      </c>
      <c r="R32" s="161">
        <v>80</v>
      </c>
      <c r="S32" s="161" t="s">
        <v>3489</v>
      </c>
      <c r="T32" s="161" t="s">
        <v>141</v>
      </c>
      <c r="U32" s="161" t="s">
        <v>73</v>
      </c>
      <c r="V32" s="21" t="s">
        <v>74</v>
      </c>
      <c r="W32" s="21" t="s">
        <v>75</v>
      </c>
      <c r="X32" s="161" t="s">
        <v>3669</v>
      </c>
      <c r="Y32" s="169">
        <v>2.0532959999999999E-2</v>
      </c>
      <c r="AA32" s="161" t="s">
        <v>77</v>
      </c>
      <c r="AB32" s="161" t="s">
        <v>114</v>
      </c>
      <c r="AC32" s="266" t="str">
        <f>HYPERLINK("https://gcsvt.ru/svetodiodnyie-svetilniki/SVT-Str-MPRO-61W-Ex-DUO-120/","Ссылка")</f>
        <v>Ссылка</v>
      </c>
      <c r="AD32" s="167">
        <v>41081</v>
      </c>
    </row>
    <row r="33" spans="1:30" s="161" customFormat="1" ht="39.950000000000003" hidden="1" customHeight="1" outlineLevel="2" x14ac:dyDescent="0.25">
      <c r="A33" s="21"/>
      <c r="B33" s="21" t="s">
        <v>3482</v>
      </c>
      <c r="C33" s="159" t="s">
        <v>3490</v>
      </c>
      <c r="D33" s="161">
        <v>24940</v>
      </c>
      <c r="E33" s="161">
        <v>160</v>
      </c>
      <c r="F33" s="161">
        <v>156</v>
      </c>
      <c r="G33" s="161" t="s">
        <v>3687</v>
      </c>
      <c r="H33" s="161" t="s">
        <v>138</v>
      </c>
      <c r="I33" s="161">
        <v>66</v>
      </c>
      <c r="J33" s="161" t="s">
        <v>389</v>
      </c>
      <c r="K33" s="21" t="s">
        <v>106</v>
      </c>
      <c r="L33" s="161" t="s">
        <v>3380</v>
      </c>
      <c r="M33" s="21" t="s">
        <v>2107</v>
      </c>
      <c r="N33" s="161" t="s">
        <v>67</v>
      </c>
      <c r="O33" s="21" t="s">
        <v>1553</v>
      </c>
      <c r="P33" s="161" t="s">
        <v>109</v>
      </c>
      <c r="Q33" s="21" t="s">
        <v>70</v>
      </c>
      <c r="R33" s="161">
        <v>80</v>
      </c>
      <c r="S33" s="161" t="s">
        <v>3491</v>
      </c>
      <c r="T33" s="161" t="s">
        <v>141</v>
      </c>
      <c r="U33" s="161" t="s">
        <v>73</v>
      </c>
      <c r="V33" s="21" t="s">
        <v>74</v>
      </c>
      <c r="W33" s="21" t="s">
        <v>75</v>
      </c>
      <c r="X33" s="161" t="s">
        <v>3670</v>
      </c>
      <c r="Y33" s="169">
        <v>2.9131137000000001E-2</v>
      </c>
      <c r="AA33" s="161" t="s">
        <v>77</v>
      </c>
      <c r="AB33" s="161" t="s">
        <v>114</v>
      </c>
      <c r="AC33" s="266" t="str">
        <f>HYPERLINK("https://gcsvt.ru/svetodiodnyie-svetilniki/SVT-Str-MPRO-80W-Ex-DUO-120/","Ссылка")</f>
        <v>Ссылка</v>
      </c>
      <c r="AD33" s="167">
        <v>50261</v>
      </c>
    </row>
    <row r="34" spans="1:30" s="161" customFormat="1" ht="39.950000000000003" hidden="1" customHeight="1" outlineLevel="2" x14ac:dyDescent="0.25">
      <c r="A34" s="21"/>
      <c r="B34" s="21" t="s">
        <v>3482</v>
      </c>
      <c r="C34" s="159" t="s">
        <v>3492</v>
      </c>
      <c r="D34" s="161">
        <v>31380</v>
      </c>
      <c r="E34" s="161">
        <v>192</v>
      </c>
      <c r="F34" s="161">
        <v>163</v>
      </c>
      <c r="G34" s="161" t="s">
        <v>3688</v>
      </c>
      <c r="H34" s="161" t="s">
        <v>138</v>
      </c>
      <c r="I34" s="161">
        <v>66</v>
      </c>
      <c r="J34" s="161" t="s">
        <v>389</v>
      </c>
      <c r="K34" s="21" t="s">
        <v>106</v>
      </c>
      <c r="L34" s="161" t="s">
        <v>3380</v>
      </c>
      <c r="M34" s="21" t="s">
        <v>2107</v>
      </c>
      <c r="N34" s="161" t="s">
        <v>67</v>
      </c>
      <c r="O34" s="21" t="s">
        <v>1553</v>
      </c>
      <c r="P34" s="161" t="s">
        <v>109</v>
      </c>
      <c r="Q34" s="21" t="s">
        <v>70</v>
      </c>
      <c r="R34" s="161">
        <v>80</v>
      </c>
      <c r="S34" s="161" t="s">
        <v>3493</v>
      </c>
      <c r="T34" s="161" t="s">
        <v>141</v>
      </c>
      <c r="U34" s="161" t="s">
        <v>73</v>
      </c>
      <c r="V34" s="21" t="s">
        <v>74</v>
      </c>
      <c r="W34" s="21" t="s">
        <v>75</v>
      </c>
      <c r="X34" s="161" t="s">
        <v>3671</v>
      </c>
      <c r="Y34" s="169">
        <v>3.2339412000000005E-2</v>
      </c>
      <c r="AA34" s="161" t="s">
        <v>77</v>
      </c>
      <c r="AB34" s="161" t="s">
        <v>114</v>
      </c>
      <c r="AC34" s="266" t="str">
        <f>HYPERLINK("https://gcsvt.ru/svetodiodnyie-svetilniki/SVT-Str-MPRO-96W-Ex-DUO-120/","Ссылка")</f>
        <v>Ссылка</v>
      </c>
      <c r="AD34" s="167">
        <v>51179</v>
      </c>
    </row>
    <row r="35" spans="1:30" s="161" customFormat="1" ht="39.950000000000003" hidden="1" customHeight="1" outlineLevel="2" x14ac:dyDescent="0.25">
      <c r="A35" s="21"/>
      <c r="B35" s="21" t="s">
        <v>3482</v>
      </c>
      <c r="C35" s="159" t="s">
        <v>3494</v>
      </c>
      <c r="D35" s="161">
        <v>29820</v>
      </c>
      <c r="E35" s="161">
        <v>183</v>
      </c>
      <c r="F35" s="161">
        <v>163</v>
      </c>
      <c r="G35" s="161" t="s">
        <v>3689</v>
      </c>
      <c r="H35" s="161" t="s">
        <v>138</v>
      </c>
      <c r="I35" s="161">
        <v>66</v>
      </c>
      <c r="J35" s="161" t="s">
        <v>389</v>
      </c>
      <c r="K35" s="21" t="s">
        <v>106</v>
      </c>
      <c r="L35" s="161" t="s">
        <v>3380</v>
      </c>
      <c r="M35" s="21" t="s">
        <v>2107</v>
      </c>
      <c r="N35" s="161" t="s">
        <v>67</v>
      </c>
      <c r="O35" s="21" t="s">
        <v>1553</v>
      </c>
      <c r="P35" s="161" t="s">
        <v>109</v>
      </c>
      <c r="Q35" s="21" t="s">
        <v>70</v>
      </c>
      <c r="R35" s="161">
        <v>80</v>
      </c>
      <c r="S35" s="161" t="s">
        <v>3495</v>
      </c>
      <c r="T35" s="161" t="s">
        <v>141</v>
      </c>
      <c r="U35" s="161" t="s">
        <v>73</v>
      </c>
      <c r="V35" s="21" t="s">
        <v>74</v>
      </c>
      <c r="W35" s="21" t="s">
        <v>75</v>
      </c>
      <c r="X35" s="161" t="s">
        <v>3672</v>
      </c>
      <c r="Y35" s="169">
        <v>3.1288320000000001E-2</v>
      </c>
      <c r="AA35" s="161" t="s">
        <v>77</v>
      </c>
      <c r="AB35" s="161" t="s">
        <v>114</v>
      </c>
      <c r="AC35" s="266" t="str">
        <f>HYPERLINK("https://gcsvt.ru/svetodiodnyie-svetilniki/SVT-Str-MPRO-61W-Ex-TRIO-120/","Ссылка")</f>
        <v>Ссылка</v>
      </c>
      <c r="AD35" s="167">
        <v>51867</v>
      </c>
    </row>
    <row r="36" spans="1:30" s="161" customFormat="1" ht="39.950000000000003" hidden="1" customHeight="1" outlineLevel="2" x14ac:dyDescent="0.25">
      <c r="A36" s="21"/>
      <c r="B36" s="21" t="s">
        <v>3482</v>
      </c>
      <c r="C36" s="159" t="s">
        <v>3496</v>
      </c>
      <c r="D36" s="161">
        <v>37410</v>
      </c>
      <c r="E36" s="161">
        <v>240</v>
      </c>
      <c r="F36" s="161">
        <v>156</v>
      </c>
      <c r="G36" s="161" t="s">
        <v>3690</v>
      </c>
      <c r="H36" s="161" t="s">
        <v>138</v>
      </c>
      <c r="I36" s="161">
        <v>66</v>
      </c>
      <c r="J36" s="161" t="s">
        <v>389</v>
      </c>
      <c r="K36" s="21" t="s">
        <v>106</v>
      </c>
      <c r="L36" s="161" t="s">
        <v>3380</v>
      </c>
      <c r="M36" s="21" t="s">
        <v>2107</v>
      </c>
      <c r="N36" s="161" t="s">
        <v>67</v>
      </c>
      <c r="O36" s="21" t="s">
        <v>1553</v>
      </c>
      <c r="P36" s="161" t="s">
        <v>109</v>
      </c>
      <c r="Q36" s="21" t="s">
        <v>70</v>
      </c>
      <c r="R36" s="161">
        <v>80</v>
      </c>
      <c r="S36" s="161" t="s">
        <v>3497</v>
      </c>
      <c r="T36" s="161" t="s">
        <v>141</v>
      </c>
      <c r="U36" s="161" t="s">
        <v>73</v>
      </c>
      <c r="V36" s="21" t="s">
        <v>74</v>
      </c>
      <c r="W36" s="21" t="s">
        <v>75</v>
      </c>
      <c r="X36" s="161" t="s">
        <v>3673</v>
      </c>
      <c r="Y36" s="169">
        <v>4.4390303999999998E-2</v>
      </c>
      <c r="AA36" s="161" t="s">
        <v>77</v>
      </c>
      <c r="AB36" s="161" t="s">
        <v>114</v>
      </c>
      <c r="AC36" s="266" t="str">
        <f>HYPERLINK("https://gcsvt.ru/svetodiodnyie-svetilniki/SVT-Str-MPRO-80W-Ex-TRIO-120/","Ссылка")</f>
        <v>Ссылка</v>
      </c>
      <c r="AD36" s="167">
        <v>63917</v>
      </c>
    </row>
    <row r="37" spans="1:30" s="161" customFormat="1" ht="39.950000000000003" hidden="1" customHeight="1" outlineLevel="2" x14ac:dyDescent="0.25">
      <c r="A37" s="21"/>
      <c r="B37" s="21" t="s">
        <v>3482</v>
      </c>
      <c r="C37" s="159" t="s">
        <v>3498</v>
      </c>
      <c r="D37" s="161">
        <v>47070</v>
      </c>
      <c r="E37" s="161">
        <v>288</v>
      </c>
      <c r="F37" s="161">
        <v>163</v>
      </c>
      <c r="G37" s="161" t="s">
        <v>3691</v>
      </c>
      <c r="H37" s="161" t="s">
        <v>138</v>
      </c>
      <c r="I37" s="161">
        <v>66</v>
      </c>
      <c r="J37" s="161" t="s">
        <v>389</v>
      </c>
      <c r="K37" s="21" t="s">
        <v>106</v>
      </c>
      <c r="L37" s="161" t="s">
        <v>3380</v>
      </c>
      <c r="M37" s="21" t="s">
        <v>2107</v>
      </c>
      <c r="N37" s="161" t="s">
        <v>67</v>
      </c>
      <c r="O37" s="21" t="s">
        <v>1553</v>
      </c>
      <c r="P37" s="161" t="s">
        <v>109</v>
      </c>
      <c r="Q37" s="21" t="s">
        <v>70</v>
      </c>
      <c r="R37" s="161">
        <v>80</v>
      </c>
      <c r="S37" s="161" t="s">
        <v>3499</v>
      </c>
      <c r="T37" s="161" t="s">
        <v>141</v>
      </c>
      <c r="U37" s="161" t="s">
        <v>73</v>
      </c>
      <c r="V37" s="21" t="s">
        <v>74</v>
      </c>
      <c r="W37" s="21" t="s">
        <v>75</v>
      </c>
      <c r="X37" s="161" t="s">
        <v>3674</v>
      </c>
      <c r="Y37" s="169">
        <v>4.9279104000000004E-2</v>
      </c>
      <c r="AA37" s="161" t="s">
        <v>77</v>
      </c>
      <c r="AB37" s="161" t="s">
        <v>114</v>
      </c>
      <c r="AC37" s="266" t="str">
        <f>HYPERLINK("https://gcsvt.ru/svetodiodnyie-svetilniki/SVT-Str-MPRO-96W-Ex-TRIO-120/","Ссылка")</f>
        <v>Ссылка</v>
      </c>
      <c r="AD37" s="167">
        <v>65408</v>
      </c>
    </row>
    <row r="38" spans="1:30" s="161" customFormat="1" ht="39.950000000000003" hidden="1" customHeight="1" outlineLevel="2" x14ac:dyDescent="0.25">
      <c r="A38" s="21"/>
      <c r="B38" s="21" t="s">
        <v>3482</v>
      </c>
      <c r="C38" s="159" t="s">
        <v>3500</v>
      </c>
      <c r="D38" s="161">
        <v>39760</v>
      </c>
      <c r="E38" s="161">
        <v>244</v>
      </c>
      <c r="F38" s="161">
        <v>163</v>
      </c>
      <c r="G38" s="161" t="s">
        <v>3692</v>
      </c>
      <c r="H38" s="161" t="s">
        <v>138</v>
      </c>
      <c r="I38" s="161">
        <v>66</v>
      </c>
      <c r="J38" s="161" t="s">
        <v>389</v>
      </c>
      <c r="K38" s="21" t="s">
        <v>106</v>
      </c>
      <c r="L38" s="161" t="s">
        <v>3380</v>
      </c>
      <c r="M38" s="21" t="s">
        <v>2107</v>
      </c>
      <c r="N38" s="161" t="s">
        <v>67</v>
      </c>
      <c r="O38" s="21" t="s">
        <v>1553</v>
      </c>
      <c r="P38" s="161" t="s">
        <v>109</v>
      </c>
      <c r="Q38" s="21" t="s">
        <v>70</v>
      </c>
      <c r="R38" s="161">
        <v>80</v>
      </c>
      <c r="S38" s="161" t="s">
        <v>3501</v>
      </c>
      <c r="T38" s="161" t="s">
        <v>141</v>
      </c>
      <c r="U38" s="161" t="s">
        <v>73</v>
      </c>
      <c r="V38" s="21" t="s">
        <v>74</v>
      </c>
      <c r="W38" s="21" t="s">
        <v>75</v>
      </c>
      <c r="X38" s="161" t="s">
        <v>3677</v>
      </c>
      <c r="Y38" s="169">
        <v>4.1750351999999998E-2</v>
      </c>
      <c r="AA38" s="161" t="s">
        <v>77</v>
      </c>
      <c r="AB38" s="161" t="s">
        <v>114</v>
      </c>
      <c r="AC38" s="266" t="str">
        <f>HYPERLINK("https://gcsvt.ru/svetodiodnyie-svetilniki/SVT-Str-MPRO-61W-Ex-QUATTRO-120/","Ссылка")</f>
        <v>Ссылка</v>
      </c>
      <c r="AD38" s="167">
        <v>79178</v>
      </c>
    </row>
    <row r="39" spans="1:30" s="161" customFormat="1" ht="39.950000000000003" hidden="1" customHeight="1" outlineLevel="2" x14ac:dyDescent="0.25">
      <c r="A39" s="21"/>
      <c r="B39" s="21" t="s">
        <v>3482</v>
      </c>
      <c r="C39" s="159" t="s">
        <v>3502</v>
      </c>
      <c r="D39" s="161">
        <v>49880</v>
      </c>
      <c r="E39" s="161">
        <v>320</v>
      </c>
      <c r="F39" s="161">
        <v>156</v>
      </c>
      <c r="G39" s="161" t="s">
        <v>3693</v>
      </c>
      <c r="H39" s="161" t="s">
        <v>138</v>
      </c>
      <c r="I39" s="161">
        <v>66</v>
      </c>
      <c r="J39" s="161" t="s">
        <v>389</v>
      </c>
      <c r="K39" s="21" t="s">
        <v>106</v>
      </c>
      <c r="L39" s="161" t="s">
        <v>3380</v>
      </c>
      <c r="M39" s="21" t="s">
        <v>2107</v>
      </c>
      <c r="N39" s="161" t="s">
        <v>67</v>
      </c>
      <c r="O39" s="21" t="s">
        <v>1553</v>
      </c>
      <c r="P39" s="161" t="s">
        <v>109</v>
      </c>
      <c r="Q39" s="21" t="s">
        <v>70</v>
      </c>
      <c r="R39" s="161">
        <v>80</v>
      </c>
      <c r="S39" s="161" t="s">
        <v>3503</v>
      </c>
      <c r="T39" s="161" t="s">
        <v>141</v>
      </c>
      <c r="U39" s="161" t="s">
        <v>73</v>
      </c>
      <c r="V39" s="21" t="s">
        <v>74</v>
      </c>
      <c r="W39" s="21" t="s">
        <v>75</v>
      </c>
      <c r="X39" s="161" t="s">
        <v>3676</v>
      </c>
      <c r="Y39" s="169">
        <v>5.9233311900000002E-2</v>
      </c>
      <c r="AA39" s="161" t="s">
        <v>77</v>
      </c>
      <c r="AB39" s="161" t="s">
        <v>114</v>
      </c>
      <c r="AC39" s="266" t="str">
        <f>HYPERLINK("https://gcsvt.ru/svetodiodnyie-svetilniki/SVT-Str-MPRO-80W-Ex-QUATTRO-120/","Ссылка")</f>
        <v>Ссылка</v>
      </c>
      <c r="AD39" s="167">
        <v>95243</v>
      </c>
    </row>
    <row r="40" spans="1:30" s="161" customFormat="1" ht="39.950000000000003" hidden="1" customHeight="1" outlineLevel="2" x14ac:dyDescent="0.25">
      <c r="A40" s="21"/>
      <c r="B40" s="21" t="s">
        <v>3482</v>
      </c>
      <c r="C40" s="159" t="s">
        <v>3504</v>
      </c>
      <c r="D40" s="161">
        <v>62760</v>
      </c>
      <c r="E40" s="161">
        <v>384</v>
      </c>
      <c r="F40" s="161">
        <v>163</v>
      </c>
      <c r="G40" s="161" t="s">
        <v>3694</v>
      </c>
      <c r="H40" s="161" t="s">
        <v>138</v>
      </c>
      <c r="I40" s="161">
        <v>66</v>
      </c>
      <c r="J40" s="161" t="s">
        <v>389</v>
      </c>
      <c r="K40" s="21" t="s">
        <v>106</v>
      </c>
      <c r="L40" s="161" t="s">
        <v>3380</v>
      </c>
      <c r="M40" s="21" t="s">
        <v>2107</v>
      </c>
      <c r="N40" s="161" t="s">
        <v>67</v>
      </c>
      <c r="O40" s="21" t="s">
        <v>1553</v>
      </c>
      <c r="P40" s="161" t="s">
        <v>109</v>
      </c>
      <c r="Q40" s="21" t="s">
        <v>70</v>
      </c>
      <c r="R40" s="161">
        <v>80</v>
      </c>
      <c r="S40" s="161" t="s">
        <v>3505</v>
      </c>
      <c r="T40" s="161" t="s">
        <v>141</v>
      </c>
      <c r="U40" s="161" t="s">
        <v>73</v>
      </c>
      <c r="V40" s="21" t="s">
        <v>74</v>
      </c>
      <c r="W40" s="21" t="s">
        <v>75</v>
      </c>
      <c r="X40" s="161" t="s">
        <v>3675</v>
      </c>
      <c r="Y40" s="169">
        <v>6.5756804400000007E-2</v>
      </c>
      <c r="AA40" s="161" t="s">
        <v>77</v>
      </c>
      <c r="AB40" s="161" t="s">
        <v>114</v>
      </c>
      <c r="AC40" s="266" t="str">
        <f>HYPERLINK("https://gcsvt.ru/svetodiodnyie-svetilniki/SVT-Str-MPRO-96W-Ex-QUATTRO-120/","Ссылка")</f>
        <v>Ссылка</v>
      </c>
      <c r="AD40" s="167">
        <v>97079</v>
      </c>
    </row>
    <row r="41" spans="1:30" s="161" customFormat="1" ht="39.950000000000003" hidden="1" customHeight="1" outlineLevel="1" collapsed="1" x14ac:dyDescent="0.25">
      <c r="A41" s="21"/>
      <c r="B41" s="196" t="s">
        <v>3506</v>
      </c>
      <c r="C41" s="212"/>
      <c r="D41" s="213"/>
      <c r="K41" s="21"/>
      <c r="M41" s="21"/>
      <c r="O41" s="21"/>
      <c r="Q41" s="21"/>
      <c r="V41" s="21"/>
      <c r="W41" s="21"/>
      <c r="AC41" s="228"/>
      <c r="AD41" s="167"/>
    </row>
    <row r="42" spans="1:30" s="161" customFormat="1" ht="39.950000000000003" hidden="1" customHeight="1" outlineLevel="2" x14ac:dyDescent="0.25">
      <c r="A42" s="21"/>
      <c r="B42" s="21" t="s">
        <v>3482</v>
      </c>
      <c r="C42" s="159" t="s">
        <v>3507</v>
      </c>
      <c r="D42" s="161">
        <v>4170</v>
      </c>
      <c r="E42" s="161">
        <v>27</v>
      </c>
      <c r="F42" s="161">
        <v>154</v>
      </c>
      <c r="G42" s="161" t="s">
        <v>3695</v>
      </c>
      <c r="H42" s="161" t="s">
        <v>63</v>
      </c>
      <c r="I42" s="161">
        <v>66</v>
      </c>
      <c r="J42" s="161" t="s">
        <v>389</v>
      </c>
      <c r="K42" s="21" t="s">
        <v>106</v>
      </c>
      <c r="L42" s="161" t="s">
        <v>3380</v>
      </c>
      <c r="M42" s="21" t="s">
        <v>2107</v>
      </c>
      <c r="N42" s="161" t="s">
        <v>67</v>
      </c>
      <c r="O42" s="21" t="s">
        <v>1553</v>
      </c>
      <c r="P42" s="161" t="s">
        <v>109</v>
      </c>
      <c r="Q42" s="21" t="s">
        <v>70</v>
      </c>
      <c r="R42" s="161">
        <v>70</v>
      </c>
      <c r="S42" s="161" t="s">
        <v>3219</v>
      </c>
      <c r="T42" s="161" t="s">
        <v>174</v>
      </c>
      <c r="U42" s="161" t="s">
        <v>73</v>
      </c>
      <c r="V42" s="21" t="s">
        <v>74</v>
      </c>
      <c r="W42" s="21" t="s">
        <v>112</v>
      </c>
      <c r="X42" s="161" t="s">
        <v>3652</v>
      </c>
      <c r="Y42" s="161">
        <v>3.0717960000000003E-3</v>
      </c>
      <c r="AA42" s="161" t="s">
        <v>77</v>
      </c>
      <c r="AB42" s="161" t="s">
        <v>114</v>
      </c>
      <c r="AC42" s="266" t="str">
        <f>HYPERLINK("https://gcsvt.ru/svetodiodnyie-svetilniki/SVT-Str-MPRO-27W-Ex-MONO-45x140/","Ссылка")</f>
        <v>Ссылка</v>
      </c>
      <c r="AD42" s="167">
        <v>11016</v>
      </c>
    </row>
    <row r="43" spans="1:30" s="161" customFormat="1" ht="39.950000000000003" hidden="1" customHeight="1" outlineLevel="2" x14ac:dyDescent="0.25">
      <c r="A43" s="21"/>
      <c r="B43" s="21" t="s">
        <v>3482</v>
      </c>
      <c r="C43" s="159" t="s">
        <v>3508</v>
      </c>
      <c r="D43" s="161">
        <v>4170</v>
      </c>
      <c r="E43" s="161">
        <v>27</v>
      </c>
      <c r="F43" s="161">
        <v>154</v>
      </c>
      <c r="G43" s="161" t="s">
        <v>3696</v>
      </c>
      <c r="H43" s="161" t="s">
        <v>177</v>
      </c>
      <c r="I43" s="161">
        <v>66</v>
      </c>
      <c r="J43" s="161" t="s">
        <v>389</v>
      </c>
      <c r="K43" s="21" t="s">
        <v>106</v>
      </c>
      <c r="L43" s="161" t="s">
        <v>3380</v>
      </c>
      <c r="M43" s="21" t="s">
        <v>2107</v>
      </c>
      <c r="N43" s="161" t="s">
        <v>67</v>
      </c>
      <c r="O43" s="21" t="s">
        <v>1553</v>
      </c>
      <c r="P43" s="161" t="s">
        <v>109</v>
      </c>
      <c r="Q43" s="21" t="s">
        <v>70</v>
      </c>
      <c r="R43" s="161">
        <v>70</v>
      </c>
      <c r="S43" s="161" t="s">
        <v>3219</v>
      </c>
      <c r="T43" s="161" t="s">
        <v>174</v>
      </c>
      <c r="U43" s="161" t="s">
        <v>73</v>
      </c>
      <c r="V43" s="21" t="s">
        <v>74</v>
      </c>
      <c r="W43" s="21" t="s">
        <v>112</v>
      </c>
      <c r="X43" s="161" t="s">
        <v>3652</v>
      </c>
      <c r="Y43" s="161">
        <v>3.0717960000000003E-3</v>
      </c>
      <c r="AA43" s="161" t="s">
        <v>77</v>
      </c>
      <c r="AB43" s="161" t="s">
        <v>114</v>
      </c>
      <c r="AC43" s="266" t="str">
        <f>HYPERLINK("https://gcsvt.ru/svetodiodnyie-svetilniki/SVT-Str-MPRO-27W-Ex-MONO-20/","Ссылка")</f>
        <v>Ссылка</v>
      </c>
      <c r="AD43" s="167">
        <v>11016</v>
      </c>
    </row>
    <row r="44" spans="1:30" s="161" customFormat="1" ht="39.950000000000003" hidden="1" customHeight="1" outlineLevel="2" x14ac:dyDescent="0.25">
      <c r="A44" s="21"/>
      <c r="B44" s="21" t="s">
        <v>3482</v>
      </c>
      <c r="C44" s="159" t="s">
        <v>3509</v>
      </c>
      <c r="D44" s="161">
        <v>4170</v>
      </c>
      <c r="E44" s="161">
        <v>27</v>
      </c>
      <c r="F44" s="161">
        <v>154</v>
      </c>
      <c r="G44" s="161" t="s">
        <v>3697</v>
      </c>
      <c r="H44" s="161" t="s">
        <v>180</v>
      </c>
      <c r="I44" s="161">
        <v>66</v>
      </c>
      <c r="J44" s="161" t="s">
        <v>389</v>
      </c>
      <c r="K44" s="21" t="s">
        <v>106</v>
      </c>
      <c r="L44" s="161" t="s">
        <v>3380</v>
      </c>
      <c r="M44" s="21" t="s">
        <v>2107</v>
      </c>
      <c r="N44" s="161" t="s">
        <v>67</v>
      </c>
      <c r="O44" s="21" t="s">
        <v>1553</v>
      </c>
      <c r="P44" s="161" t="s">
        <v>109</v>
      </c>
      <c r="Q44" s="21" t="s">
        <v>70</v>
      </c>
      <c r="R44" s="161">
        <v>70</v>
      </c>
      <c r="S44" s="161" t="s">
        <v>3219</v>
      </c>
      <c r="T44" s="161" t="s">
        <v>174</v>
      </c>
      <c r="U44" s="161" t="s">
        <v>73</v>
      </c>
      <c r="V44" s="21" t="s">
        <v>74</v>
      </c>
      <c r="W44" s="21" t="s">
        <v>112</v>
      </c>
      <c r="X44" s="161" t="s">
        <v>3652</v>
      </c>
      <c r="Y44" s="161">
        <v>3.0717960000000003E-3</v>
      </c>
      <c r="AA44" s="161" t="s">
        <v>77</v>
      </c>
      <c r="AB44" s="161" t="s">
        <v>114</v>
      </c>
      <c r="AC44" s="266" t="str">
        <f>HYPERLINK("https://gcsvt.ru/svetodiodnyie-svetilniki/SVT-Str-MPRO-27W-Ex-MONO-35/","Ссылка")</f>
        <v>Ссылка</v>
      </c>
      <c r="AD44" s="167">
        <v>11016</v>
      </c>
    </row>
    <row r="45" spans="1:30" s="161" customFormat="1" ht="39.950000000000003" hidden="1" customHeight="1" outlineLevel="2" x14ac:dyDescent="0.25">
      <c r="A45" s="21"/>
      <c r="B45" s="21" t="s">
        <v>3482</v>
      </c>
      <c r="C45" s="159" t="s">
        <v>3510</v>
      </c>
      <c r="D45" s="161">
        <v>4170</v>
      </c>
      <c r="E45" s="161">
        <v>27</v>
      </c>
      <c r="F45" s="161">
        <v>154</v>
      </c>
      <c r="G45" s="161" t="s">
        <v>3698</v>
      </c>
      <c r="H45" s="161" t="s">
        <v>183</v>
      </c>
      <c r="I45" s="161">
        <v>66</v>
      </c>
      <c r="J45" s="161" t="s">
        <v>389</v>
      </c>
      <c r="K45" s="21" t="s">
        <v>106</v>
      </c>
      <c r="L45" s="161" t="s">
        <v>3380</v>
      </c>
      <c r="M45" s="21" t="s">
        <v>2107</v>
      </c>
      <c r="N45" s="161" t="s">
        <v>67</v>
      </c>
      <c r="O45" s="21" t="s">
        <v>1553</v>
      </c>
      <c r="P45" s="161" t="s">
        <v>109</v>
      </c>
      <c r="Q45" s="21" t="s">
        <v>70</v>
      </c>
      <c r="R45" s="161">
        <v>70</v>
      </c>
      <c r="S45" s="161" t="s">
        <v>3219</v>
      </c>
      <c r="T45" s="161" t="s">
        <v>174</v>
      </c>
      <c r="U45" s="161" t="s">
        <v>73</v>
      </c>
      <c r="V45" s="21" t="s">
        <v>74</v>
      </c>
      <c r="W45" s="21" t="s">
        <v>112</v>
      </c>
      <c r="X45" s="161" t="s">
        <v>3652</v>
      </c>
      <c r="Y45" s="161">
        <v>3.0717960000000003E-3</v>
      </c>
      <c r="AA45" s="161" t="s">
        <v>77</v>
      </c>
      <c r="AB45" s="161" t="s">
        <v>114</v>
      </c>
      <c r="AC45" s="266" t="str">
        <f>HYPERLINK("https://gcsvt.ru/svetodiodnyie-svetilniki/SVT-Str-MPRO-27W-Ex-MONO-65/","Ссылка")</f>
        <v>Ссылка</v>
      </c>
      <c r="AD45" s="167">
        <v>11016</v>
      </c>
    </row>
    <row r="46" spans="1:30" s="161" customFormat="1" ht="39.950000000000003" hidden="1" customHeight="1" outlineLevel="2" x14ac:dyDescent="0.25">
      <c r="A46" s="21"/>
      <c r="B46" s="21" t="s">
        <v>3482</v>
      </c>
      <c r="C46" s="159" t="s">
        <v>3511</v>
      </c>
      <c r="D46" s="161">
        <v>4170</v>
      </c>
      <c r="E46" s="161">
        <v>27</v>
      </c>
      <c r="F46" s="161">
        <v>154</v>
      </c>
      <c r="G46" s="161" t="s">
        <v>3699</v>
      </c>
      <c r="H46" s="161" t="s">
        <v>186</v>
      </c>
      <c r="I46" s="161">
        <v>66</v>
      </c>
      <c r="J46" s="161" t="s">
        <v>389</v>
      </c>
      <c r="K46" s="21" t="s">
        <v>106</v>
      </c>
      <c r="L46" s="161" t="s">
        <v>3380</v>
      </c>
      <c r="M46" s="21" t="s">
        <v>2107</v>
      </c>
      <c r="N46" s="161" t="s">
        <v>67</v>
      </c>
      <c r="O46" s="21" t="s">
        <v>1553</v>
      </c>
      <c r="P46" s="161" t="s">
        <v>109</v>
      </c>
      <c r="Q46" s="21" t="s">
        <v>70</v>
      </c>
      <c r="R46" s="161">
        <v>70</v>
      </c>
      <c r="S46" s="161" t="s">
        <v>3219</v>
      </c>
      <c r="T46" s="161" t="s">
        <v>174</v>
      </c>
      <c r="U46" s="161" t="s">
        <v>73</v>
      </c>
      <c r="V46" s="21" t="s">
        <v>74</v>
      </c>
      <c r="W46" s="21" t="s">
        <v>112</v>
      </c>
      <c r="X46" s="161" t="s">
        <v>3652</v>
      </c>
      <c r="Y46" s="161">
        <v>3.0717960000000003E-3</v>
      </c>
      <c r="AA46" s="161" t="s">
        <v>77</v>
      </c>
      <c r="AB46" s="161" t="s">
        <v>114</v>
      </c>
      <c r="AC46" s="266" t="str">
        <f>HYPERLINK("https://gcsvt.ru/svetodiodnyie-svetilniki/SVT-Str-MPRO-27W-Ex-MONO-100/","Ссылка")</f>
        <v>Ссылка</v>
      </c>
      <c r="AD46" s="167">
        <v>11016</v>
      </c>
    </row>
    <row r="47" spans="1:30" s="161" customFormat="1" ht="39.950000000000003" hidden="1" customHeight="1" outlineLevel="2" x14ac:dyDescent="0.25">
      <c r="A47" s="21"/>
      <c r="B47" s="21" t="s">
        <v>3482</v>
      </c>
      <c r="C47" s="159" t="s">
        <v>3512</v>
      </c>
      <c r="D47" s="161">
        <v>4170</v>
      </c>
      <c r="E47" s="161">
        <v>27</v>
      </c>
      <c r="F47" s="161">
        <v>154</v>
      </c>
      <c r="G47" s="161" t="s">
        <v>3700</v>
      </c>
      <c r="H47" s="161" t="s">
        <v>189</v>
      </c>
      <c r="I47" s="161">
        <v>66</v>
      </c>
      <c r="J47" s="161" t="s">
        <v>389</v>
      </c>
      <c r="K47" s="21" t="s">
        <v>106</v>
      </c>
      <c r="L47" s="161" t="s">
        <v>3380</v>
      </c>
      <c r="M47" s="21" t="s">
        <v>2107</v>
      </c>
      <c r="N47" s="161" t="s">
        <v>67</v>
      </c>
      <c r="O47" s="21" t="s">
        <v>1553</v>
      </c>
      <c r="P47" s="161" t="s">
        <v>109</v>
      </c>
      <c r="Q47" s="21" t="s">
        <v>70</v>
      </c>
      <c r="R47" s="161">
        <v>70</v>
      </c>
      <c r="S47" s="161" t="s">
        <v>3219</v>
      </c>
      <c r="T47" s="161" t="s">
        <v>174</v>
      </c>
      <c r="U47" s="161" t="s">
        <v>73</v>
      </c>
      <c r="V47" s="21" t="s">
        <v>74</v>
      </c>
      <c r="W47" s="21" t="s">
        <v>112</v>
      </c>
      <c r="X47" s="161" t="s">
        <v>3652</v>
      </c>
      <c r="Y47" s="161">
        <v>3.0717960000000003E-3</v>
      </c>
      <c r="AA47" s="161" t="s">
        <v>77</v>
      </c>
      <c r="AB47" s="161" t="s">
        <v>114</v>
      </c>
      <c r="AC47" s="266" t="str">
        <f>HYPERLINK("https://gcsvt.ru/svetodiodnyie-svetilniki/SVT-Str-MPRO-27W-Ex-MONO-30x120/","Ссылка")</f>
        <v>Ссылка</v>
      </c>
      <c r="AD47" s="167">
        <v>11016</v>
      </c>
    </row>
    <row r="48" spans="1:30" s="161" customFormat="1" ht="39.950000000000003" hidden="1" customHeight="1" outlineLevel="2" x14ac:dyDescent="0.25">
      <c r="A48" s="21"/>
      <c r="B48" s="21" t="s">
        <v>3482</v>
      </c>
      <c r="C48" s="159" t="s">
        <v>3513</v>
      </c>
      <c r="D48" s="161">
        <v>4170</v>
      </c>
      <c r="E48" s="161">
        <v>27</v>
      </c>
      <c r="F48" s="161">
        <v>154</v>
      </c>
      <c r="G48" s="161" t="s">
        <v>3701</v>
      </c>
      <c r="H48" s="161" t="s">
        <v>192</v>
      </c>
      <c r="I48" s="161">
        <v>66</v>
      </c>
      <c r="J48" s="161" t="s">
        <v>389</v>
      </c>
      <c r="K48" s="21" t="s">
        <v>106</v>
      </c>
      <c r="L48" s="161" t="s">
        <v>3380</v>
      </c>
      <c r="M48" s="21" t="s">
        <v>2107</v>
      </c>
      <c r="N48" s="161" t="s">
        <v>67</v>
      </c>
      <c r="O48" s="21" t="s">
        <v>1553</v>
      </c>
      <c r="P48" s="161" t="s">
        <v>109</v>
      </c>
      <c r="Q48" s="21" t="s">
        <v>70</v>
      </c>
      <c r="R48" s="161">
        <v>70</v>
      </c>
      <c r="S48" s="161" t="s">
        <v>3219</v>
      </c>
      <c r="T48" s="161" t="s">
        <v>174</v>
      </c>
      <c r="U48" s="161" t="s">
        <v>73</v>
      </c>
      <c r="V48" s="21" t="s">
        <v>74</v>
      </c>
      <c r="W48" s="21" t="s">
        <v>112</v>
      </c>
      <c r="X48" s="161" t="s">
        <v>3652</v>
      </c>
      <c r="Y48" s="161">
        <v>3.0717960000000003E-3</v>
      </c>
      <c r="AA48" s="161" t="s">
        <v>77</v>
      </c>
      <c r="AB48" s="161" t="s">
        <v>114</v>
      </c>
      <c r="AC48" s="266" t="str">
        <f>HYPERLINK("https://gcsvt.ru/svetodiodnyie-svetilniki/SVT-Str-MPRO-27W-Ex-MONO-150/","Ссылка")</f>
        <v>Ссылка</v>
      </c>
      <c r="AD48" s="167">
        <v>11016</v>
      </c>
    </row>
    <row r="49" spans="1:30" s="161" customFormat="1" ht="39.950000000000003" hidden="1" customHeight="1" outlineLevel="2" x14ac:dyDescent="0.25">
      <c r="A49" s="21"/>
      <c r="B49" s="21" t="s">
        <v>3482</v>
      </c>
      <c r="C49" s="159" t="s">
        <v>3514</v>
      </c>
      <c r="D49" s="161">
        <v>8180</v>
      </c>
      <c r="E49" s="161">
        <v>53</v>
      </c>
      <c r="F49" s="161">
        <v>154</v>
      </c>
      <c r="G49" s="161" t="s">
        <v>3702</v>
      </c>
      <c r="H49" s="161" t="s">
        <v>63</v>
      </c>
      <c r="I49" s="161">
        <v>66</v>
      </c>
      <c r="J49" s="161" t="s">
        <v>389</v>
      </c>
      <c r="K49" s="21" t="s">
        <v>106</v>
      </c>
      <c r="L49" s="161" t="s">
        <v>3380</v>
      </c>
      <c r="M49" s="21" t="s">
        <v>2107</v>
      </c>
      <c r="N49" s="161" t="s">
        <v>67</v>
      </c>
      <c r="O49" s="21" t="s">
        <v>1553</v>
      </c>
      <c r="P49" s="161" t="s">
        <v>109</v>
      </c>
      <c r="Q49" s="21" t="s">
        <v>70</v>
      </c>
      <c r="R49" s="161">
        <v>70</v>
      </c>
      <c r="S49" s="161" t="s">
        <v>3220</v>
      </c>
      <c r="T49" s="161" t="s">
        <v>174</v>
      </c>
      <c r="U49" s="161" t="s">
        <v>73</v>
      </c>
      <c r="V49" s="21" t="s">
        <v>74</v>
      </c>
      <c r="W49" s="21" t="s">
        <v>112</v>
      </c>
      <c r="X49" s="161" t="s">
        <v>3653</v>
      </c>
      <c r="Y49" s="161">
        <v>6.0254460000000003E-3</v>
      </c>
      <c r="AA49" s="161" t="s">
        <v>77</v>
      </c>
      <c r="AB49" s="161" t="s">
        <v>114</v>
      </c>
      <c r="AC49" s="266" t="str">
        <f>HYPERLINK("https://gcsvt.ru/svetodiodnyie-svetilniki/SVT-Str-MPRO-53W-Ex-MONO-45x140/","Ссылка")</f>
        <v>Ссылка</v>
      </c>
      <c r="AD49" s="167">
        <v>14459</v>
      </c>
    </row>
    <row r="50" spans="1:30" s="161" customFormat="1" ht="39.950000000000003" hidden="1" customHeight="1" outlineLevel="2" x14ac:dyDescent="0.25">
      <c r="A50" s="21"/>
      <c r="B50" s="21" t="s">
        <v>3482</v>
      </c>
      <c r="C50" s="159" t="s">
        <v>3515</v>
      </c>
      <c r="D50" s="161">
        <v>8180</v>
      </c>
      <c r="E50" s="161">
        <v>53</v>
      </c>
      <c r="F50" s="161">
        <v>154</v>
      </c>
      <c r="G50" s="161" t="s">
        <v>3703</v>
      </c>
      <c r="H50" s="161" t="s">
        <v>177</v>
      </c>
      <c r="I50" s="161">
        <v>66</v>
      </c>
      <c r="J50" s="161" t="s">
        <v>389</v>
      </c>
      <c r="K50" s="21" t="s">
        <v>106</v>
      </c>
      <c r="L50" s="161" t="s">
        <v>3380</v>
      </c>
      <c r="M50" s="21" t="s">
        <v>2107</v>
      </c>
      <c r="N50" s="161" t="s">
        <v>67</v>
      </c>
      <c r="O50" s="21" t="s">
        <v>1553</v>
      </c>
      <c r="P50" s="161" t="s">
        <v>109</v>
      </c>
      <c r="Q50" s="21" t="s">
        <v>70</v>
      </c>
      <c r="R50" s="161">
        <v>70</v>
      </c>
      <c r="S50" s="161" t="s">
        <v>3220</v>
      </c>
      <c r="T50" s="161" t="s">
        <v>174</v>
      </c>
      <c r="U50" s="161" t="s">
        <v>73</v>
      </c>
      <c r="V50" s="21" t="s">
        <v>74</v>
      </c>
      <c r="W50" s="21" t="s">
        <v>112</v>
      </c>
      <c r="X50" s="161" t="s">
        <v>3653</v>
      </c>
      <c r="Y50" s="161">
        <v>6.0254460000000003E-3</v>
      </c>
      <c r="AA50" s="161" t="s">
        <v>77</v>
      </c>
      <c r="AB50" s="161" t="s">
        <v>114</v>
      </c>
      <c r="AC50" s="266" t="str">
        <f>HYPERLINK("https://gcsvt.ru/svetodiodnyie-svetilniki/SVT-Str-MPRO-53W-Ex-MONO-20/","Ссылка")</f>
        <v>Ссылка</v>
      </c>
      <c r="AD50" s="167">
        <v>14459</v>
      </c>
    </row>
    <row r="51" spans="1:30" s="161" customFormat="1" ht="39.950000000000003" hidden="1" customHeight="1" outlineLevel="2" x14ac:dyDescent="0.25">
      <c r="A51" s="21"/>
      <c r="B51" s="21" t="s">
        <v>3482</v>
      </c>
      <c r="C51" s="159" t="s">
        <v>3516</v>
      </c>
      <c r="D51" s="161">
        <v>8180</v>
      </c>
      <c r="E51" s="161">
        <v>53</v>
      </c>
      <c r="F51" s="161">
        <v>154</v>
      </c>
      <c r="G51" s="161" t="s">
        <v>3704</v>
      </c>
      <c r="H51" s="161" t="s">
        <v>180</v>
      </c>
      <c r="I51" s="161">
        <v>66</v>
      </c>
      <c r="J51" s="161" t="s">
        <v>389</v>
      </c>
      <c r="K51" s="21" t="s">
        <v>106</v>
      </c>
      <c r="L51" s="161" t="s">
        <v>3380</v>
      </c>
      <c r="M51" s="21" t="s">
        <v>2107</v>
      </c>
      <c r="N51" s="161" t="s">
        <v>67</v>
      </c>
      <c r="O51" s="21" t="s">
        <v>1553</v>
      </c>
      <c r="P51" s="161" t="s">
        <v>109</v>
      </c>
      <c r="Q51" s="21" t="s">
        <v>70</v>
      </c>
      <c r="R51" s="161">
        <v>70</v>
      </c>
      <c r="S51" s="161" t="s">
        <v>3220</v>
      </c>
      <c r="T51" s="161" t="s">
        <v>174</v>
      </c>
      <c r="U51" s="161" t="s">
        <v>73</v>
      </c>
      <c r="V51" s="21" t="s">
        <v>74</v>
      </c>
      <c r="W51" s="21" t="s">
        <v>112</v>
      </c>
      <c r="X51" s="161" t="s">
        <v>3653</v>
      </c>
      <c r="Y51" s="161">
        <v>6.0254460000000003E-3</v>
      </c>
      <c r="AA51" s="161" t="s">
        <v>77</v>
      </c>
      <c r="AB51" s="161" t="s">
        <v>114</v>
      </c>
      <c r="AC51" s="266" t="str">
        <f>HYPERLINK("https://gcsvt.ru/svetodiodnyie-svetilniki/SVT-Str-MPRO-53W-Ex-MONO-35/","Ссылка")</f>
        <v>Ссылка</v>
      </c>
      <c r="AD51" s="167">
        <v>14459</v>
      </c>
    </row>
    <row r="52" spans="1:30" s="161" customFormat="1" ht="39.950000000000003" hidden="1" customHeight="1" outlineLevel="2" x14ac:dyDescent="0.25">
      <c r="A52" s="21"/>
      <c r="B52" s="21" t="s">
        <v>3482</v>
      </c>
      <c r="C52" s="159" t="s">
        <v>3517</v>
      </c>
      <c r="D52" s="161">
        <v>8180</v>
      </c>
      <c r="E52" s="161">
        <v>53</v>
      </c>
      <c r="F52" s="161">
        <v>154</v>
      </c>
      <c r="G52" s="161" t="s">
        <v>3705</v>
      </c>
      <c r="H52" s="161" t="s">
        <v>183</v>
      </c>
      <c r="I52" s="161">
        <v>66</v>
      </c>
      <c r="J52" s="161" t="s">
        <v>389</v>
      </c>
      <c r="K52" s="21" t="s">
        <v>106</v>
      </c>
      <c r="L52" s="161" t="s">
        <v>3380</v>
      </c>
      <c r="M52" s="21" t="s">
        <v>2107</v>
      </c>
      <c r="N52" s="161" t="s">
        <v>67</v>
      </c>
      <c r="O52" s="21" t="s">
        <v>1553</v>
      </c>
      <c r="P52" s="161" t="s">
        <v>109</v>
      </c>
      <c r="Q52" s="21" t="s">
        <v>70</v>
      </c>
      <c r="R52" s="161">
        <v>70</v>
      </c>
      <c r="S52" s="161" t="s">
        <v>3220</v>
      </c>
      <c r="T52" s="161" t="s">
        <v>174</v>
      </c>
      <c r="U52" s="161" t="s">
        <v>73</v>
      </c>
      <c r="V52" s="21" t="s">
        <v>74</v>
      </c>
      <c r="W52" s="21" t="s">
        <v>112</v>
      </c>
      <c r="X52" s="161" t="s">
        <v>3653</v>
      </c>
      <c r="Y52" s="161">
        <v>6.0254460000000003E-3</v>
      </c>
      <c r="AA52" s="161" t="s">
        <v>77</v>
      </c>
      <c r="AB52" s="161" t="s">
        <v>114</v>
      </c>
      <c r="AC52" s="266" t="str">
        <f>HYPERLINK("https://gcsvt.ru/svetodiodnyie-svetilniki/SVT-Str-MPRO-53W-Ex-MONO-65/","Ссылка")</f>
        <v>Ссылка</v>
      </c>
      <c r="AD52" s="167">
        <v>14459</v>
      </c>
    </row>
    <row r="53" spans="1:30" s="161" customFormat="1" ht="39.950000000000003" hidden="1" customHeight="1" outlineLevel="2" x14ac:dyDescent="0.25">
      <c r="A53" s="21"/>
      <c r="B53" s="21" t="s">
        <v>3482</v>
      </c>
      <c r="C53" s="159" t="s">
        <v>3518</v>
      </c>
      <c r="D53" s="161">
        <v>8180</v>
      </c>
      <c r="E53" s="161">
        <v>53</v>
      </c>
      <c r="F53" s="161">
        <v>154</v>
      </c>
      <c r="G53" s="161" t="s">
        <v>3706</v>
      </c>
      <c r="H53" s="161" t="s">
        <v>186</v>
      </c>
      <c r="I53" s="161">
        <v>66</v>
      </c>
      <c r="J53" s="161" t="s">
        <v>389</v>
      </c>
      <c r="K53" s="21" t="s">
        <v>106</v>
      </c>
      <c r="L53" s="161" t="s">
        <v>3380</v>
      </c>
      <c r="M53" s="21" t="s">
        <v>2107</v>
      </c>
      <c r="N53" s="161" t="s">
        <v>67</v>
      </c>
      <c r="O53" s="21" t="s">
        <v>1553</v>
      </c>
      <c r="P53" s="161" t="s">
        <v>109</v>
      </c>
      <c r="Q53" s="21" t="s">
        <v>70</v>
      </c>
      <c r="R53" s="161">
        <v>70</v>
      </c>
      <c r="S53" s="161" t="s">
        <v>3220</v>
      </c>
      <c r="T53" s="161" t="s">
        <v>174</v>
      </c>
      <c r="U53" s="161" t="s">
        <v>73</v>
      </c>
      <c r="V53" s="21" t="s">
        <v>74</v>
      </c>
      <c r="W53" s="21" t="s">
        <v>112</v>
      </c>
      <c r="X53" s="161" t="s">
        <v>3653</v>
      </c>
      <c r="Y53" s="161">
        <v>6.0254460000000003E-3</v>
      </c>
      <c r="AA53" s="161" t="s">
        <v>77</v>
      </c>
      <c r="AB53" s="161" t="s">
        <v>114</v>
      </c>
      <c r="AC53" s="266" t="str">
        <f>HYPERLINK("https://gcsvt.ru/svetodiodnyie-svetilniki/SVT-Str-MPRO-53W-Ex-MONO-100/","Ссылка")</f>
        <v>Ссылка</v>
      </c>
      <c r="AD53" s="167">
        <v>14459</v>
      </c>
    </row>
    <row r="54" spans="1:30" s="161" customFormat="1" ht="39.950000000000003" hidden="1" customHeight="1" outlineLevel="2" x14ac:dyDescent="0.25">
      <c r="A54" s="21"/>
      <c r="B54" s="21" t="s">
        <v>3482</v>
      </c>
      <c r="C54" s="159" t="s">
        <v>3519</v>
      </c>
      <c r="D54" s="161">
        <v>8180</v>
      </c>
      <c r="E54" s="161">
        <v>53</v>
      </c>
      <c r="F54" s="161">
        <v>154</v>
      </c>
      <c r="G54" s="161" t="s">
        <v>3707</v>
      </c>
      <c r="H54" s="161" t="s">
        <v>189</v>
      </c>
      <c r="I54" s="161">
        <v>66</v>
      </c>
      <c r="J54" s="161" t="s">
        <v>389</v>
      </c>
      <c r="K54" s="21" t="s">
        <v>106</v>
      </c>
      <c r="L54" s="161" t="s">
        <v>3380</v>
      </c>
      <c r="M54" s="21" t="s">
        <v>2107</v>
      </c>
      <c r="N54" s="161" t="s">
        <v>67</v>
      </c>
      <c r="O54" s="21" t="s">
        <v>1553</v>
      </c>
      <c r="P54" s="161" t="s">
        <v>109</v>
      </c>
      <c r="Q54" s="21" t="s">
        <v>70</v>
      </c>
      <c r="R54" s="161">
        <v>70</v>
      </c>
      <c r="S54" s="161" t="s">
        <v>3220</v>
      </c>
      <c r="T54" s="161" t="s">
        <v>174</v>
      </c>
      <c r="U54" s="161" t="s">
        <v>73</v>
      </c>
      <c r="V54" s="21" t="s">
        <v>74</v>
      </c>
      <c r="W54" s="21" t="s">
        <v>112</v>
      </c>
      <c r="X54" s="161" t="s">
        <v>3653</v>
      </c>
      <c r="Y54" s="161">
        <v>6.0254460000000003E-3</v>
      </c>
      <c r="AA54" s="161" t="s">
        <v>77</v>
      </c>
      <c r="AB54" s="161" t="s">
        <v>114</v>
      </c>
      <c r="AC54" s="266" t="str">
        <f>HYPERLINK("https://gcsvt.ru/svetodiodnyie-svetilniki/SVT-Str-MPRO-53W-Ex-MONO-30x120/","Ссылка")</f>
        <v>Ссылка</v>
      </c>
      <c r="AD54" s="167">
        <v>14459</v>
      </c>
    </row>
    <row r="55" spans="1:30" s="161" customFormat="1" ht="39.950000000000003" hidden="1" customHeight="1" outlineLevel="2" x14ac:dyDescent="0.25">
      <c r="A55" s="21"/>
      <c r="B55" s="21" t="s">
        <v>3482</v>
      </c>
      <c r="C55" s="159" t="s">
        <v>3520</v>
      </c>
      <c r="D55" s="161">
        <v>8180</v>
      </c>
      <c r="E55" s="161">
        <v>53</v>
      </c>
      <c r="F55" s="161">
        <v>154</v>
      </c>
      <c r="G55" s="161" t="s">
        <v>3708</v>
      </c>
      <c r="H55" s="161" t="s">
        <v>192</v>
      </c>
      <c r="I55" s="161">
        <v>66</v>
      </c>
      <c r="J55" s="161" t="s">
        <v>389</v>
      </c>
      <c r="K55" s="21" t="s">
        <v>106</v>
      </c>
      <c r="L55" s="161" t="s">
        <v>3380</v>
      </c>
      <c r="M55" s="21" t="s">
        <v>2107</v>
      </c>
      <c r="N55" s="161" t="s">
        <v>67</v>
      </c>
      <c r="O55" s="21" t="s">
        <v>1553</v>
      </c>
      <c r="P55" s="161" t="s">
        <v>109</v>
      </c>
      <c r="Q55" s="21" t="s">
        <v>70</v>
      </c>
      <c r="R55" s="161">
        <v>70</v>
      </c>
      <c r="S55" s="161" t="s">
        <v>3220</v>
      </c>
      <c r="T55" s="161" t="s">
        <v>174</v>
      </c>
      <c r="U55" s="161" t="s">
        <v>73</v>
      </c>
      <c r="V55" s="21" t="s">
        <v>74</v>
      </c>
      <c r="W55" s="21" t="s">
        <v>112</v>
      </c>
      <c r="X55" s="161" t="s">
        <v>3653</v>
      </c>
      <c r="Y55" s="161">
        <v>6.0254460000000003E-3</v>
      </c>
      <c r="AA55" s="161" t="s">
        <v>77</v>
      </c>
      <c r="AB55" s="161" t="s">
        <v>114</v>
      </c>
      <c r="AC55" s="266" t="str">
        <f>HYPERLINK("https://gcsvt.ru/svetodiodnyie-svetilniki/SVT-Str-MPRO-53W-Ex-MONO-150/","Ссылка")</f>
        <v>Ссылка</v>
      </c>
      <c r="AD55" s="167">
        <v>14459</v>
      </c>
    </row>
    <row r="56" spans="1:30" s="161" customFormat="1" ht="39.950000000000003" hidden="1" customHeight="1" outlineLevel="2" x14ac:dyDescent="0.25">
      <c r="A56" s="21"/>
      <c r="B56" s="21" t="s">
        <v>3482</v>
      </c>
      <c r="C56" s="159" t="s">
        <v>3521</v>
      </c>
      <c r="D56" s="161">
        <v>12100</v>
      </c>
      <c r="E56" s="161">
        <v>79</v>
      </c>
      <c r="F56" s="161">
        <v>153</v>
      </c>
      <c r="G56" s="161" t="s">
        <v>3709</v>
      </c>
      <c r="H56" s="161" t="s">
        <v>63</v>
      </c>
      <c r="I56" s="161">
        <v>66</v>
      </c>
      <c r="J56" s="161" t="s">
        <v>389</v>
      </c>
      <c r="K56" s="21" t="s">
        <v>106</v>
      </c>
      <c r="L56" s="161" t="s">
        <v>3380</v>
      </c>
      <c r="M56" s="21" t="s">
        <v>2107</v>
      </c>
      <c r="N56" s="161" t="s">
        <v>67</v>
      </c>
      <c r="O56" s="21" t="s">
        <v>1553</v>
      </c>
      <c r="P56" s="161" t="s">
        <v>109</v>
      </c>
      <c r="Q56" s="21" t="s">
        <v>70</v>
      </c>
      <c r="R56" s="161">
        <v>70</v>
      </c>
      <c r="S56" s="161" t="s">
        <v>3221</v>
      </c>
      <c r="T56" s="161" t="s">
        <v>174</v>
      </c>
      <c r="U56" s="161" t="s">
        <v>73</v>
      </c>
      <c r="V56" s="21" t="s">
        <v>74</v>
      </c>
      <c r="W56" s="21" t="s">
        <v>112</v>
      </c>
      <c r="X56" s="161" t="s">
        <v>3654</v>
      </c>
      <c r="Y56" s="161">
        <v>8.9790960000000006E-3</v>
      </c>
      <c r="AA56" s="161" t="s">
        <v>77</v>
      </c>
      <c r="AB56" s="161" t="s">
        <v>114</v>
      </c>
      <c r="AC56" s="266" t="str">
        <f>HYPERLINK("https://gcsvt.ru/svetodiodnyie-svetilniki/SVT-Str-MPRO-79W-Ex-MONO-45x140/","Ссылка")</f>
        <v>Ссылка</v>
      </c>
      <c r="AD56" s="167">
        <v>22491</v>
      </c>
    </row>
    <row r="57" spans="1:30" s="161" customFormat="1" ht="39.950000000000003" hidden="1" customHeight="1" outlineLevel="2" x14ac:dyDescent="0.25">
      <c r="A57" s="21"/>
      <c r="B57" s="21" t="s">
        <v>3482</v>
      </c>
      <c r="C57" s="159" t="s">
        <v>3522</v>
      </c>
      <c r="D57" s="161">
        <v>12100</v>
      </c>
      <c r="E57" s="161">
        <v>79</v>
      </c>
      <c r="F57" s="161">
        <v>153</v>
      </c>
      <c r="G57" s="161" t="s">
        <v>3710</v>
      </c>
      <c r="H57" s="161" t="s">
        <v>177</v>
      </c>
      <c r="I57" s="161">
        <v>66</v>
      </c>
      <c r="J57" s="161" t="s">
        <v>389</v>
      </c>
      <c r="K57" s="21" t="s">
        <v>106</v>
      </c>
      <c r="L57" s="161" t="s">
        <v>3380</v>
      </c>
      <c r="M57" s="21" t="s">
        <v>2107</v>
      </c>
      <c r="N57" s="161" t="s">
        <v>67</v>
      </c>
      <c r="O57" s="21" t="s">
        <v>1553</v>
      </c>
      <c r="P57" s="161" t="s">
        <v>109</v>
      </c>
      <c r="Q57" s="21" t="s">
        <v>70</v>
      </c>
      <c r="R57" s="161">
        <v>70</v>
      </c>
      <c r="S57" s="161" t="s">
        <v>3221</v>
      </c>
      <c r="T57" s="161" t="s">
        <v>174</v>
      </c>
      <c r="U57" s="161" t="s">
        <v>73</v>
      </c>
      <c r="V57" s="21" t="s">
        <v>74</v>
      </c>
      <c r="W57" s="21" t="s">
        <v>112</v>
      </c>
      <c r="X57" s="161" t="s">
        <v>3654</v>
      </c>
      <c r="Y57" s="161">
        <v>8.9790960000000006E-3</v>
      </c>
      <c r="AA57" s="161" t="s">
        <v>77</v>
      </c>
      <c r="AB57" s="161" t="s">
        <v>114</v>
      </c>
      <c r="AC57" s="266" t="str">
        <f>HYPERLINK("https://gcsvt.ru/svetodiodnyie-svetilniki/SVT-Str-MPRO-79W-Ex-MONO-20/","Ссылка")</f>
        <v>Ссылка</v>
      </c>
      <c r="AD57" s="167">
        <v>22491</v>
      </c>
    </row>
    <row r="58" spans="1:30" s="161" customFormat="1" ht="39.950000000000003" hidden="1" customHeight="1" outlineLevel="2" x14ac:dyDescent="0.25">
      <c r="A58" s="21"/>
      <c r="B58" s="21" t="s">
        <v>3482</v>
      </c>
      <c r="C58" s="159" t="s">
        <v>3523</v>
      </c>
      <c r="D58" s="161">
        <v>12100</v>
      </c>
      <c r="E58" s="161">
        <v>79</v>
      </c>
      <c r="F58" s="161">
        <v>153</v>
      </c>
      <c r="G58" s="161" t="s">
        <v>3711</v>
      </c>
      <c r="H58" s="161" t="s">
        <v>180</v>
      </c>
      <c r="I58" s="161">
        <v>66</v>
      </c>
      <c r="J58" s="161" t="s">
        <v>389</v>
      </c>
      <c r="K58" s="21" t="s">
        <v>106</v>
      </c>
      <c r="L58" s="161" t="s">
        <v>3380</v>
      </c>
      <c r="M58" s="21" t="s">
        <v>2107</v>
      </c>
      <c r="N58" s="161" t="s">
        <v>67</v>
      </c>
      <c r="O58" s="21" t="s">
        <v>1553</v>
      </c>
      <c r="P58" s="161" t="s">
        <v>109</v>
      </c>
      <c r="Q58" s="21" t="s">
        <v>70</v>
      </c>
      <c r="R58" s="161">
        <v>70</v>
      </c>
      <c r="S58" s="161" t="s">
        <v>3221</v>
      </c>
      <c r="T58" s="161" t="s">
        <v>174</v>
      </c>
      <c r="U58" s="161" t="s">
        <v>73</v>
      </c>
      <c r="V58" s="21" t="s">
        <v>74</v>
      </c>
      <c r="W58" s="21" t="s">
        <v>112</v>
      </c>
      <c r="X58" s="161" t="s">
        <v>3654</v>
      </c>
      <c r="Y58" s="161">
        <v>8.9790960000000006E-3</v>
      </c>
      <c r="AA58" s="161" t="s">
        <v>77</v>
      </c>
      <c r="AB58" s="161" t="s">
        <v>114</v>
      </c>
      <c r="AC58" s="266" t="str">
        <f>HYPERLINK("https://gcsvt.ru/svetodiodnyie-svetilniki/SVT-Str-MPRO-79W-Ex-MONO-35/","Ссылка")</f>
        <v>Ссылка</v>
      </c>
      <c r="AD58" s="167">
        <v>22491</v>
      </c>
    </row>
    <row r="59" spans="1:30" s="161" customFormat="1" ht="39.950000000000003" hidden="1" customHeight="1" outlineLevel="2" x14ac:dyDescent="0.25">
      <c r="A59" s="21"/>
      <c r="B59" s="21" t="s">
        <v>3482</v>
      </c>
      <c r="C59" s="159" t="s">
        <v>3524</v>
      </c>
      <c r="D59" s="161">
        <v>12100</v>
      </c>
      <c r="E59" s="161">
        <v>79</v>
      </c>
      <c r="F59" s="161">
        <v>153</v>
      </c>
      <c r="G59" s="161" t="s">
        <v>3712</v>
      </c>
      <c r="H59" s="161" t="s">
        <v>183</v>
      </c>
      <c r="I59" s="161">
        <v>66</v>
      </c>
      <c r="J59" s="161" t="s">
        <v>389</v>
      </c>
      <c r="K59" s="21" t="s">
        <v>106</v>
      </c>
      <c r="L59" s="161" t="s">
        <v>3380</v>
      </c>
      <c r="M59" s="21" t="s">
        <v>2107</v>
      </c>
      <c r="N59" s="161" t="s">
        <v>67</v>
      </c>
      <c r="O59" s="21" t="s">
        <v>1553</v>
      </c>
      <c r="P59" s="161" t="s">
        <v>109</v>
      </c>
      <c r="Q59" s="21" t="s">
        <v>70</v>
      </c>
      <c r="R59" s="161">
        <v>70</v>
      </c>
      <c r="S59" s="161" t="s">
        <v>3221</v>
      </c>
      <c r="T59" s="161" t="s">
        <v>174</v>
      </c>
      <c r="U59" s="161" t="s">
        <v>73</v>
      </c>
      <c r="V59" s="21" t="s">
        <v>74</v>
      </c>
      <c r="W59" s="21" t="s">
        <v>112</v>
      </c>
      <c r="X59" s="161" t="s">
        <v>3654</v>
      </c>
      <c r="Y59" s="161">
        <v>8.9790960000000006E-3</v>
      </c>
      <c r="AA59" s="161" t="s">
        <v>77</v>
      </c>
      <c r="AB59" s="161" t="s">
        <v>114</v>
      </c>
      <c r="AC59" s="266" t="str">
        <f>HYPERLINK("https://gcsvt.ru/svetodiodnyie-svetilniki/SVT-Str-MPRO-79W-Ex-MONO-65/","Ссылка")</f>
        <v>Ссылка</v>
      </c>
      <c r="AD59" s="167">
        <v>22491</v>
      </c>
    </row>
    <row r="60" spans="1:30" s="161" customFormat="1" ht="39.950000000000003" hidden="1" customHeight="1" outlineLevel="2" x14ac:dyDescent="0.25">
      <c r="A60" s="21"/>
      <c r="B60" s="21" t="s">
        <v>3482</v>
      </c>
      <c r="C60" s="159" t="s">
        <v>3525</v>
      </c>
      <c r="D60" s="161">
        <v>12100</v>
      </c>
      <c r="E60" s="161">
        <v>79</v>
      </c>
      <c r="F60" s="161">
        <v>153</v>
      </c>
      <c r="G60" s="161" t="s">
        <v>3713</v>
      </c>
      <c r="H60" s="161" t="s">
        <v>186</v>
      </c>
      <c r="I60" s="161">
        <v>66</v>
      </c>
      <c r="J60" s="161" t="s">
        <v>389</v>
      </c>
      <c r="K60" s="21" t="s">
        <v>106</v>
      </c>
      <c r="L60" s="161" t="s">
        <v>3380</v>
      </c>
      <c r="M60" s="21" t="s">
        <v>2107</v>
      </c>
      <c r="N60" s="161" t="s">
        <v>67</v>
      </c>
      <c r="O60" s="21" t="s">
        <v>1553</v>
      </c>
      <c r="P60" s="161" t="s">
        <v>109</v>
      </c>
      <c r="Q60" s="21" t="s">
        <v>70</v>
      </c>
      <c r="R60" s="161">
        <v>70</v>
      </c>
      <c r="S60" s="161" t="s">
        <v>3221</v>
      </c>
      <c r="T60" s="161" t="s">
        <v>174</v>
      </c>
      <c r="U60" s="161" t="s">
        <v>73</v>
      </c>
      <c r="V60" s="21" t="s">
        <v>74</v>
      </c>
      <c r="W60" s="21" t="s">
        <v>112</v>
      </c>
      <c r="X60" s="161" t="s">
        <v>3654</v>
      </c>
      <c r="Y60" s="161">
        <v>8.9790960000000006E-3</v>
      </c>
      <c r="AA60" s="161" t="s">
        <v>77</v>
      </c>
      <c r="AB60" s="161" t="s">
        <v>114</v>
      </c>
      <c r="AC60" s="266" t="str">
        <f>HYPERLINK("https://gcsvt.ru/svetodiodnyie-svetilniki/SVT-Str-MPRO-79W-Ex-MONO-100/","Ссылка")</f>
        <v>Ссылка</v>
      </c>
      <c r="AD60" s="167">
        <v>22491</v>
      </c>
    </row>
    <row r="61" spans="1:30" s="161" customFormat="1" ht="39.950000000000003" hidden="1" customHeight="1" outlineLevel="2" x14ac:dyDescent="0.25">
      <c r="A61" s="21"/>
      <c r="B61" s="21" t="s">
        <v>3482</v>
      </c>
      <c r="C61" s="159" t="s">
        <v>3526</v>
      </c>
      <c r="D61" s="161">
        <v>12100</v>
      </c>
      <c r="E61" s="161">
        <v>79</v>
      </c>
      <c r="F61" s="161">
        <v>153</v>
      </c>
      <c r="G61" s="161" t="s">
        <v>3714</v>
      </c>
      <c r="H61" s="161" t="s">
        <v>189</v>
      </c>
      <c r="I61" s="161">
        <v>66</v>
      </c>
      <c r="J61" s="161" t="s">
        <v>389</v>
      </c>
      <c r="K61" s="21" t="s">
        <v>106</v>
      </c>
      <c r="L61" s="161" t="s">
        <v>3380</v>
      </c>
      <c r="M61" s="21" t="s">
        <v>2107</v>
      </c>
      <c r="N61" s="161" t="s">
        <v>67</v>
      </c>
      <c r="O61" s="21" t="s">
        <v>1553</v>
      </c>
      <c r="P61" s="161" t="s">
        <v>109</v>
      </c>
      <c r="Q61" s="21" t="s">
        <v>70</v>
      </c>
      <c r="R61" s="161">
        <v>70</v>
      </c>
      <c r="S61" s="161" t="s">
        <v>3221</v>
      </c>
      <c r="T61" s="161" t="s">
        <v>174</v>
      </c>
      <c r="U61" s="161" t="s">
        <v>73</v>
      </c>
      <c r="V61" s="21" t="s">
        <v>74</v>
      </c>
      <c r="W61" s="21" t="s">
        <v>112</v>
      </c>
      <c r="X61" s="161" t="s">
        <v>3654</v>
      </c>
      <c r="Y61" s="161">
        <v>8.9790960000000006E-3</v>
      </c>
      <c r="AA61" s="161" t="s">
        <v>77</v>
      </c>
      <c r="AB61" s="161" t="s">
        <v>114</v>
      </c>
      <c r="AC61" s="266" t="str">
        <f>HYPERLINK("https://gcsvt.ru/svetodiodnyie-svetilniki/SVT-Str-MPRO-79W-Ex-MONO-30x120/","Ссылка")</f>
        <v>Ссылка</v>
      </c>
      <c r="AD61" s="167">
        <v>22491</v>
      </c>
    </row>
    <row r="62" spans="1:30" s="161" customFormat="1" ht="39.950000000000003" hidden="1" customHeight="1" outlineLevel="2" x14ac:dyDescent="0.25">
      <c r="A62" s="21"/>
      <c r="B62" s="21" t="s">
        <v>3482</v>
      </c>
      <c r="C62" s="159" t="s">
        <v>3527</v>
      </c>
      <c r="D62" s="161">
        <v>12100</v>
      </c>
      <c r="E62" s="161">
        <v>79</v>
      </c>
      <c r="F62" s="161">
        <v>153</v>
      </c>
      <c r="G62" s="161" t="s">
        <v>3715</v>
      </c>
      <c r="H62" s="161" t="s">
        <v>192</v>
      </c>
      <c r="I62" s="161">
        <v>66</v>
      </c>
      <c r="J62" s="161" t="s">
        <v>389</v>
      </c>
      <c r="K62" s="21" t="s">
        <v>106</v>
      </c>
      <c r="L62" s="161" t="s">
        <v>3380</v>
      </c>
      <c r="M62" s="21" t="s">
        <v>2107</v>
      </c>
      <c r="N62" s="161" t="s">
        <v>67</v>
      </c>
      <c r="O62" s="21" t="s">
        <v>1553</v>
      </c>
      <c r="P62" s="161" t="s">
        <v>109</v>
      </c>
      <c r="Q62" s="21" t="s">
        <v>70</v>
      </c>
      <c r="R62" s="161">
        <v>70</v>
      </c>
      <c r="S62" s="161" t="s">
        <v>3221</v>
      </c>
      <c r="T62" s="161" t="s">
        <v>174</v>
      </c>
      <c r="U62" s="161" t="s">
        <v>73</v>
      </c>
      <c r="V62" s="21" t="s">
        <v>74</v>
      </c>
      <c r="W62" s="21" t="s">
        <v>112</v>
      </c>
      <c r="X62" s="161" t="s">
        <v>3654</v>
      </c>
      <c r="Y62" s="161">
        <v>8.9790960000000006E-3</v>
      </c>
      <c r="AA62" s="161" t="s">
        <v>77</v>
      </c>
      <c r="AB62" s="161" t="s">
        <v>114</v>
      </c>
      <c r="AC62" s="266" t="str">
        <f>HYPERLINK("https://gcsvt.ru/svetodiodnyie-svetilniki/SVT-Str-MPRO-79W-Ex-MONO-150/","Ссылка")</f>
        <v>Ссылка</v>
      </c>
      <c r="AD62" s="167">
        <v>22491</v>
      </c>
    </row>
    <row r="63" spans="1:30" s="161" customFormat="1" ht="39.950000000000003" hidden="1" customHeight="1" outlineLevel="2" x14ac:dyDescent="0.25">
      <c r="A63" s="21"/>
      <c r="B63" s="21" t="s">
        <v>3482</v>
      </c>
      <c r="C63" s="159" t="s">
        <v>3528</v>
      </c>
      <c r="D63" s="161">
        <v>16540</v>
      </c>
      <c r="E63" s="161">
        <v>102</v>
      </c>
      <c r="F63" s="161">
        <v>162</v>
      </c>
      <c r="G63" s="161" t="s">
        <v>3716</v>
      </c>
      <c r="H63" s="161" t="s">
        <v>63</v>
      </c>
      <c r="I63" s="161">
        <v>66</v>
      </c>
      <c r="J63" s="161" t="s">
        <v>389</v>
      </c>
      <c r="K63" s="21" t="s">
        <v>106</v>
      </c>
      <c r="L63" s="161" t="s">
        <v>3380</v>
      </c>
      <c r="M63" s="21" t="s">
        <v>2107</v>
      </c>
      <c r="N63" s="161" t="s">
        <v>67</v>
      </c>
      <c r="O63" s="21" t="s">
        <v>1553</v>
      </c>
      <c r="P63" s="161" t="s">
        <v>109</v>
      </c>
      <c r="Q63" s="21" t="s">
        <v>70</v>
      </c>
      <c r="R63" s="161">
        <v>70</v>
      </c>
      <c r="S63" s="161" t="s">
        <v>3222</v>
      </c>
      <c r="T63" s="161" t="s">
        <v>174</v>
      </c>
      <c r="U63" s="161" t="s">
        <v>73</v>
      </c>
      <c r="V63" s="21" t="s">
        <v>74</v>
      </c>
      <c r="W63" s="21" t="s">
        <v>112</v>
      </c>
      <c r="X63" s="161" t="s">
        <v>3655</v>
      </c>
      <c r="Y63" s="161">
        <v>1.3511421000000001E-2</v>
      </c>
      <c r="AA63" s="161" t="s">
        <v>77</v>
      </c>
      <c r="AB63" s="161" t="s">
        <v>114</v>
      </c>
      <c r="AC63" s="266" t="str">
        <f>HYPERLINK("https://gcsvt.ru/svetodiodnyie-svetilniki/SVT-Str-MPRO-102W-Ex-MONO-45x140/","Ссылка")</f>
        <v>Ссылка</v>
      </c>
      <c r="AD63" s="167">
        <v>25016</v>
      </c>
    </row>
    <row r="64" spans="1:30" s="161" customFormat="1" ht="39.950000000000003" hidden="1" customHeight="1" outlineLevel="2" x14ac:dyDescent="0.25">
      <c r="A64" s="21"/>
      <c r="B64" s="21" t="s">
        <v>3482</v>
      </c>
      <c r="C64" s="159" t="s">
        <v>3529</v>
      </c>
      <c r="D64" s="161">
        <v>16540</v>
      </c>
      <c r="E64" s="161">
        <v>102</v>
      </c>
      <c r="F64" s="161">
        <v>162</v>
      </c>
      <c r="G64" s="161" t="s">
        <v>3717</v>
      </c>
      <c r="H64" s="161" t="s">
        <v>177</v>
      </c>
      <c r="I64" s="161">
        <v>66</v>
      </c>
      <c r="J64" s="161" t="s">
        <v>389</v>
      </c>
      <c r="K64" s="21" t="s">
        <v>106</v>
      </c>
      <c r="L64" s="161" t="s">
        <v>3380</v>
      </c>
      <c r="M64" s="21" t="s">
        <v>2107</v>
      </c>
      <c r="N64" s="161" t="s">
        <v>67</v>
      </c>
      <c r="O64" s="21" t="s">
        <v>1553</v>
      </c>
      <c r="P64" s="161" t="s">
        <v>109</v>
      </c>
      <c r="Q64" s="21" t="s">
        <v>70</v>
      </c>
      <c r="R64" s="161">
        <v>70</v>
      </c>
      <c r="S64" s="161" t="s">
        <v>3222</v>
      </c>
      <c r="T64" s="161" t="s">
        <v>174</v>
      </c>
      <c r="U64" s="161" t="s">
        <v>73</v>
      </c>
      <c r="V64" s="21" t="s">
        <v>74</v>
      </c>
      <c r="W64" s="21" t="s">
        <v>112</v>
      </c>
      <c r="X64" s="161" t="s">
        <v>3655</v>
      </c>
      <c r="Y64" s="161">
        <v>1.3511421000000001E-2</v>
      </c>
      <c r="AA64" s="161" t="s">
        <v>77</v>
      </c>
      <c r="AB64" s="161" t="s">
        <v>114</v>
      </c>
      <c r="AC64" s="266" t="str">
        <f>HYPERLINK("https://gcsvt.ru/svetodiodnyie-svetilniki/SVT-Str-MPRO-102W-Ex-MONO-20/","Ссылка")</f>
        <v>Ссылка</v>
      </c>
      <c r="AD64" s="167">
        <v>25016</v>
      </c>
    </row>
    <row r="65" spans="1:30" s="161" customFormat="1" ht="39.950000000000003" hidden="1" customHeight="1" outlineLevel="2" x14ac:dyDescent="0.25">
      <c r="A65" s="21"/>
      <c r="B65" s="21" t="s">
        <v>3482</v>
      </c>
      <c r="C65" s="159" t="s">
        <v>3530</v>
      </c>
      <c r="D65" s="161">
        <v>16540</v>
      </c>
      <c r="E65" s="161">
        <v>102</v>
      </c>
      <c r="F65" s="161">
        <v>162</v>
      </c>
      <c r="G65" s="161" t="s">
        <v>3718</v>
      </c>
      <c r="H65" s="161" t="s">
        <v>180</v>
      </c>
      <c r="I65" s="161">
        <v>66</v>
      </c>
      <c r="J65" s="161" t="s">
        <v>389</v>
      </c>
      <c r="K65" s="21" t="s">
        <v>106</v>
      </c>
      <c r="L65" s="161" t="s">
        <v>3380</v>
      </c>
      <c r="M65" s="21" t="s">
        <v>2107</v>
      </c>
      <c r="N65" s="161" t="s">
        <v>67</v>
      </c>
      <c r="O65" s="21" t="s">
        <v>1553</v>
      </c>
      <c r="P65" s="161" t="s">
        <v>109</v>
      </c>
      <c r="Q65" s="21" t="s">
        <v>70</v>
      </c>
      <c r="R65" s="161">
        <v>70</v>
      </c>
      <c r="S65" s="161" t="s">
        <v>3222</v>
      </c>
      <c r="T65" s="161" t="s">
        <v>174</v>
      </c>
      <c r="U65" s="161" t="s">
        <v>73</v>
      </c>
      <c r="V65" s="21" t="s">
        <v>74</v>
      </c>
      <c r="W65" s="21" t="s">
        <v>112</v>
      </c>
      <c r="X65" s="161" t="s">
        <v>3655</v>
      </c>
      <c r="Y65" s="161">
        <v>1.3511421000000001E-2</v>
      </c>
      <c r="AA65" s="161" t="s">
        <v>77</v>
      </c>
      <c r="AB65" s="161" t="s">
        <v>114</v>
      </c>
      <c r="AC65" s="266" t="str">
        <f>HYPERLINK("https://gcsvt.ru/svetodiodnyie-svetilniki/SVT-Str-MPRO-102W-Ex-MONO-35/","Ссылка")</f>
        <v>Ссылка</v>
      </c>
      <c r="AD65" s="167">
        <v>25016</v>
      </c>
    </row>
    <row r="66" spans="1:30" s="161" customFormat="1" ht="39.950000000000003" hidden="1" customHeight="1" outlineLevel="2" x14ac:dyDescent="0.25">
      <c r="A66" s="21"/>
      <c r="B66" s="21" t="s">
        <v>3482</v>
      </c>
      <c r="C66" s="159" t="s">
        <v>3531</v>
      </c>
      <c r="D66" s="161">
        <v>16540</v>
      </c>
      <c r="E66" s="161">
        <v>102</v>
      </c>
      <c r="F66" s="161">
        <v>162</v>
      </c>
      <c r="G66" s="161" t="s">
        <v>3719</v>
      </c>
      <c r="H66" s="161" t="s">
        <v>183</v>
      </c>
      <c r="I66" s="161">
        <v>66</v>
      </c>
      <c r="J66" s="161" t="s">
        <v>389</v>
      </c>
      <c r="K66" s="21" t="s">
        <v>106</v>
      </c>
      <c r="L66" s="161" t="s">
        <v>3380</v>
      </c>
      <c r="M66" s="21" t="s">
        <v>2107</v>
      </c>
      <c r="N66" s="161" t="s">
        <v>67</v>
      </c>
      <c r="O66" s="21" t="s">
        <v>1553</v>
      </c>
      <c r="P66" s="161" t="s">
        <v>109</v>
      </c>
      <c r="Q66" s="21" t="s">
        <v>70</v>
      </c>
      <c r="R66" s="161">
        <v>70</v>
      </c>
      <c r="S66" s="161" t="s">
        <v>3222</v>
      </c>
      <c r="T66" s="161" t="s">
        <v>174</v>
      </c>
      <c r="U66" s="161" t="s">
        <v>73</v>
      </c>
      <c r="V66" s="21" t="s">
        <v>74</v>
      </c>
      <c r="W66" s="21" t="s">
        <v>112</v>
      </c>
      <c r="X66" s="161" t="s">
        <v>3655</v>
      </c>
      <c r="Y66" s="161">
        <v>1.3511421000000001E-2</v>
      </c>
      <c r="AA66" s="161" t="s">
        <v>77</v>
      </c>
      <c r="AB66" s="161" t="s">
        <v>114</v>
      </c>
      <c r="AC66" s="266" t="str">
        <f>HYPERLINK("https://gcsvt.ru/svetodiodnyie-svetilniki/SVT-Str-MPRO-102W-Ex-MONO-65/","Ссылка")</f>
        <v>Ссылка</v>
      </c>
      <c r="AD66" s="167">
        <v>25016</v>
      </c>
    </row>
    <row r="67" spans="1:30" s="161" customFormat="1" ht="39.950000000000003" hidden="1" customHeight="1" outlineLevel="2" x14ac:dyDescent="0.25">
      <c r="A67" s="21"/>
      <c r="B67" s="21" t="s">
        <v>3482</v>
      </c>
      <c r="C67" s="159" t="s">
        <v>3532</v>
      </c>
      <c r="D67" s="161">
        <v>16540</v>
      </c>
      <c r="E67" s="161">
        <v>102</v>
      </c>
      <c r="F67" s="161">
        <v>162</v>
      </c>
      <c r="G67" s="161" t="s">
        <v>3720</v>
      </c>
      <c r="H67" s="161" t="s">
        <v>186</v>
      </c>
      <c r="I67" s="161">
        <v>66</v>
      </c>
      <c r="J67" s="161" t="s">
        <v>389</v>
      </c>
      <c r="K67" s="21" t="s">
        <v>106</v>
      </c>
      <c r="L67" s="161" t="s">
        <v>3380</v>
      </c>
      <c r="M67" s="21" t="s">
        <v>2107</v>
      </c>
      <c r="N67" s="161" t="s">
        <v>67</v>
      </c>
      <c r="O67" s="21" t="s">
        <v>1553</v>
      </c>
      <c r="P67" s="161" t="s">
        <v>109</v>
      </c>
      <c r="Q67" s="21" t="s">
        <v>70</v>
      </c>
      <c r="R67" s="161">
        <v>70</v>
      </c>
      <c r="S67" s="161" t="s">
        <v>3222</v>
      </c>
      <c r="T67" s="161" t="s">
        <v>174</v>
      </c>
      <c r="U67" s="161" t="s">
        <v>73</v>
      </c>
      <c r="V67" s="21" t="s">
        <v>74</v>
      </c>
      <c r="W67" s="21" t="s">
        <v>112</v>
      </c>
      <c r="X67" s="161" t="s">
        <v>3655</v>
      </c>
      <c r="Y67" s="161">
        <v>1.3511421000000001E-2</v>
      </c>
      <c r="AA67" s="161" t="s">
        <v>77</v>
      </c>
      <c r="AB67" s="161" t="s">
        <v>114</v>
      </c>
      <c r="AC67" s="266" t="str">
        <f>HYPERLINK("https://gcsvt.ru/svetodiodnyie-svetilniki/SVT-Str-MPRO-102W-Ex-MONO-100/","Ссылка")</f>
        <v>Ссылка</v>
      </c>
      <c r="AD67" s="167">
        <v>25016</v>
      </c>
    </row>
    <row r="68" spans="1:30" s="161" customFormat="1" ht="39.950000000000003" hidden="1" customHeight="1" outlineLevel="2" x14ac:dyDescent="0.25">
      <c r="A68" s="21"/>
      <c r="B68" s="21" t="s">
        <v>3482</v>
      </c>
      <c r="C68" s="159" t="s">
        <v>3533</v>
      </c>
      <c r="D68" s="161">
        <v>16540</v>
      </c>
      <c r="E68" s="161">
        <v>102</v>
      </c>
      <c r="F68" s="161">
        <v>162</v>
      </c>
      <c r="G68" s="161" t="s">
        <v>3721</v>
      </c>
      <c r="H68" s="161" t="s">
        <v>189</v>
      </c>
      <c r="I68" s="161">
        <v>66</v>
      </c>
      <c r="J68" s="161" t="s">
        <v>389</v>
      </c>
      <c r="K68" s="21" t="s">
        <v>106</v>
      </c>
      <c r="L68" s="161" t="s">
        <v>3380</v>
      </c>
      <c r="M68" s="21" t="s">
        <v>2107</v>
      </c>
      <c r="N68" s="161" t="s">
        <v>67</v>
      </c>
      <c r="O68" s="21" t="s">
        <v>1553</v>
      </c>
      <c r="P68" s="161" t="s">
        <v>109</v>
      </c>
      <c r="Q68" s="21" t="s">
        <v>70</v>
      </c>
      <c r="R68" s="161">
        <v>70</v>
      </c>
      <c r="S68" s="161" t="s">
        <v>3222</v>
      </c>
      <c r="T68" s="161" t="s">
        <v>174</v>
      </c>
      <c r="U68" s="161" t="s">
        <v>73</v>
      </c>
      <c r="V68" s="21" t="s">
        <v>74</v>
      </c>
      <c r="W68" s="21" t="s">
        <v>112</v>
      </c>
      <c r="X68" s="161" t="s">
        <v>3655</v>
      </c>
      <c r="Y68" s="161">
        <v>1.3511421000000001E-2</v>
      </c>
      <c r="AA68" s="161" t="s">
        <v>77</v>
      </c>
      <c r="AB68" s="161" t="s">
        <v>114</v>
      </c>
      <c r="AC68" s="266" t="str">
        <f>HYPERLINK("https://gcsvt.ru/svetodiodnyie-svetilniki/SVT-Str-MPRO-102W-Ex-MONO-30x120/","Ссылка")</f>
        <v>Ссылка</v>
      </c>
      <c r="AD68" s="167">
        <v>25016</v>
      </c>
    </row>
    <row r="69" spans="1:30" s="161" customFormat="1" ht="39.950000000000003" hidden="1" customHeight="1" outlineLevel="2" x14ac:dyDescent="0.25">
      <c r="A69" s="21"/>
      <c r="B69" s="21" t="s">
        <v>3482</v>
      </c>
      <c r="C69" s="159" t="s">
        <v>3534</v>
      </c>
      <c r="D69" s="161">
        <v>16540</v>
      </c>
      <c r="E69" s="161">
        <v>102</v>
      </c>
      <c r="F69" s="161">
        <v>162</v>
      </c>
      <c r="G69" s="161" t="s">
        <v>3722</v>
      </c>
      <c r="H69" s="161" t="s">
        <v>192</v>
      </c>
      <c r="I69" s="161">
        <v>66</v>
      </c>
      <c r="J69" s="161" t="s">
        <v>389</v>
      </c>
      <c r="K69" s="21" t="s">
        <v>106</v>
      </c>
      <c r="L69" s="161" t="s">
        <v>3380</v>
      </c>
      <c r="M69" s="21" t="s">
        <v>2107</v>
      </c>
      <c r="N69" s="161" t="s">
        <v>67</v>
      </c>
      <c r="O69" s="21" t="s">
        <v>1553</v>
      </c>
      <c r="P69" s="161" t="s">
        <v>109</v>
      </c>
      <c r="Q69" s="21" t="s">
        <v>70</v>
      </c>
      <c r="R69" s="161">
        <v>70</v>
      </c>
      <c r="S69" s="161" t="s">
        <v>3222</v>
      </c>
      <c r="T69" s="161" t="s">
        <v>174</v>
      </c>
      <c r="U69" s="161" t="s">
        <v>73</v>
      </c>
      <c r="V69" s="21" t="s">
        <v>74</v>
      </c>
      <c r="W69" s="21" t="s">
        <v>112</v>
      </c>
      <c r="X69" s="161" t="s">
        <v>3655</v>
      </c>
      <c r="Y69" s="161">
        <v>1.3511421000000001E-2</v>
      </c>
      <c r="AA69" s="161" t="s">
        <v>77</v>
      </c>
      <c r="AB69" s="161" t="s">
        <v>114</v>
      </c>
      <c r="AC69" s="266" t="str">
        <f>HYPERLINK("https://gcsvt.ru/svetodiodnyie-svetilniki/SVT-Str-MPRO-102W-Ex-MONO-150/","Ссылка")</f>
        <v>Ссылка</v>
      </c>
      <c r="AD69" s="167">
        <v>25016</v>
      </c>
    </row>
    <row r="70" spans="1:30" s="161" customFormat="1" ht="39.950000000000003" hidden="1" customHeight="1" outlineLevel="2" x14ac:dyDescent="0.25">
      <c r="A70" s="21"/>
      <c r="B70" s="21" t="s">
        <v>3482</v>
      </c>
      <c r="C70" s="159" t="s">
        <v>3535</v>
      </c>
      <c r="D70" s="161">
        <v>16360</v>
      </c>
      <c r="E70" s="161">
        <v>106</v>
      </c>
      <c r="F70" s="161">
        <v>154</v>
      </c>
      <c r="G70" s="161" t="s">
        <v>3723</v>
      </c>
      <c r="H70" s="161" t="s">
        <v>63</v>
      </c>
      <c r="I70" s="161">
        <v>66</v>
      </c>
      <c r="J70" s="161" t="s">
        <v>389</v>
      </c>
      <c r="K70" s="21" t="s">
        <v>106</v>
      </c>
      <c r="L70" s="161" t="s">
        <v>3380</v>
      </c>
      <c r="M70" s="21" t="s">
        <v>2107</v>
      </c>
      <c r="N70" s="161" t="s">
        <v>67</v>
      </c>
      <c r="O70" s="21" t="s">
        <v>1553</v>
      </c>
      <c r="P70" s="161" t="s">
        <v>109</v>
      </c>
      <c r="Q70" s="21" t="s">
        <v>70</v>
      </c>
      <c r="R70" s="161">
        <v>70</v>
      </c>
      <c r="S70" s="161" t="s">
        <v>3536</v>
      </c>
      <c r="T70" s="161" t="s">
        <v>174</v>
      </c>
      <c r="U70" s="161" t="s">
        <v>73</v>
      </c>
      <c r="V70" s="21" t="s">
        <v>74</v>
      </c>
      <c r="W70" s="21" t="s">
        <v>75</v>
      </c>
      <c r="X70" s="161" t="s">
        <v>3656</v>
      </c>
      <c r="Y70" s="161">
        <v>2.5922862000000001E-2</v>
      </c>
      <c r="AA70" s="161" t="s">
        <v>77</v>
      </c>
      <c r="AB70" s="161" t="s">
        <v>114</v>
      </c>
      <c r="AC70" s="266" t="str">
        <f>HYPERLINK("https://gcsvt.ru/svetodiodnyie-svetilniki/SVT-Str-MPRO-53W-Ex-DUO-45x140/","Ссылка")</f>
        <v>Ссылка</v>
      </c>
      <c r="AD70" s="167">
        <v>48884</v>
      </c>
    </row>
    <row r="71" spans="1:30" s="161" customFormat="1" ht="39.950000000000003" hidden="1" customHeight="1" outlineLevel="2" x14ac:dyDescent="0.25">
      <c r="A71" s="21"/>
      <c r="B71" s="21" t="s">
        <v>3482</v>
      </c>
      <c r="C71" s="159" t="s">
        <v>3537</v>
      </c>
      <c r="D71" s="161">
        <v>16360</v>
      </c>
      <c r="E71" s="161">
        <v>106</v>
      </c>
      <c r="F71" s="161">
        <v>154</v>
      </c>
      <c r="G71" s="161" t="s">
        <v>3724</v>
      </c>
      <c r="H71" s="161" t="s">
        <v>177</v>
      </c>
      <c r="I71" s="161">
        <v>66</v>
      </c>
      <c r="J71" s="161" t="s">
        <v>389</v>
      </c>
      <c r="K71" s="21" t="s">
        <v>106</v>
      </c>
      <c r="L71" s="161" t="s">
        <v>3380</v>
      </c>
      <c r="M71" s="21" t="s">
        <v>2107</v>
      </c>
      <c r="N71" s="161" t="s">
        <v>67</v>
      </c>
      <c r="O71" s="21" t="s">
        <v>1553</v>
      </c>
      <c r="P71" s="161" t="s">
        <v>109</v>
      </c>
      <c r="Q71" s="21" t="s">
        <v>70</v>
      </c>
      <c r="R71" s="161">
        <v>70</v>
      </c>
      <c r="S71" s="161" t="s">
        <v>3536</v>
      </c>
      <c r="T71" s="161" t="s">
        <v>174</v>
      </c>
      <c r="U71" s="161" t="s">
        <v>73</v>
      </c>
      <c r="V71" s="21" t="s">
        <v>74</v>
      </c>
      <c r="W71" s="21" t="s">
        <v>75</v>
      </c>
      <c r="X71" s="161" t="s">
        <v>3656</v>
      </c>
      <c r="Y71" s="161">
        <v>2.5922862000000001E-2</v>
      </c>
      <c r="AA71" s="161" t="s">
        <v>77</v>
      </c>
      <c r="AB71" s="161" t="s">
        <v>114</v>
      </c>
      <c r="AC71" s="266" t="str">
        <f>HYPERLINK("https://gcsvt.ru/svetodiodnyie-svetilniki/SVT-Str-MPRO-53W-Ex-DUO-20/","Ссылка")</f>
        <v>Ссылка</v>
      </c>
      <c r="AD71" s="167">
        <v>48884</v>
      </c>
    </row>
    <row r="72" spans="1:30" s="161" customFormat="1" ht="39.950000000000003" hidden="1" customHeight="1" outlineLevel="2" x14ac:dyDescent="0.25">
      <c r="A72" s="21"/>
      <c r="B72" s="21" t="s">
        <v>3482</v>
      </c>
      <c r="C72" s="159" t="s">
        <v>3538</v>
      </c>
      <c r="D72" s="161">
        <v>16360</v>
      </c>
      <c r="E72" s="161">
        <v>106</v>
      </c>
      <c r="F72" s="161">
        <v>154</v>
      </c>
      <c r="G72" s="161" t="s">
        <v>3725</v>
      </c>
      <c r="H72" s="161" t="s">
        <v>180</v>
      </c>
      <c r="I72" s="161">
        <v>66</v>
      </c>
      <c r="J72" s="161" t="s">
        <v>389</v>
      </c>
      <c r="K72" s="21" t="s">
        <v>106</v>
      </c>
      <c r="L72" s="161" t="s">
        <v>3380</v>
      </c>
      <c r="M72" s="21" t="s">
        <v>2107</v>
      </c>
      <c r="N72" s="161" t="s">
        <v>67</v>
      </c>
      <c r="O72" s="21" t="s">
        <v>1553</v>
      </c>
      <c r="P72" s="161" t="s">
        <v>109</v>
      </c>
      <c r="Q72" s="21" t="s">
        <v>70</v>
      </c>
      <c r="R72" s="161">
        <v>70</v>
      </c>
      <c r="S72" s="161" t="s">
        <v>3536</v>
      </c>
      <c r="T72" s="161" t="s">
        <v>174</v>
      </c>
      <c r="U72" s="161" t="s">
        <v>73</v>
      </c>
      <c r="V72" s="21" t="s">
        <v>74</v>
      </c>
      <c r="W72" s="21" t="s">
        <v>75</v>
      </c>
      <c r="X72" s="161" t="s">
        <v>3656</v>
      </c>
      <c r="Y72" s="161">
        <v>2.5922862000000001E-2</v>
      </c>
      <c r="AA72" s="161" t="s">
        <v>77</v>
      </c>
      <c r="AB72" s="161" t="s">
        <v>114</v>
      </c>
      <c r="AC72" s="266" t="str">
        <f>HYPERLINK("https://gcsvt.ru/svetodiodnyie-svetilniki/SVT-Str-MPRO-53W-Ex-DUO-35/","Ссылка")</f>
        <v>Ссылка</v>
      </c>
      <c r="AD72" s="167">
        <v>48884</v>
      </c>
    </row>
    <row r="73" spans="1:30" s="161" customFormat="1" ht="39.950000000000003" hidden="1" customHeight="1" outlineLevel="2" x14ac:dyDescent="0.25">
      <c r="A73" s="21"/>
      <c r="B73" s="21" t="s">
        <v>3482</v>
      </c>
      <c r="C73" s="159" t="s">
        <v>3539</v>
      </c>
      <c r="D73" s="161">
        <v>16360</v>
      </c>
      <c r="E73" s="161">
        <v>106</v>
      </c>
      <c r="F73" s="161">
        <v>154</v>
      </c>
      <c r="G73" s="161" t="s">
        <v>3726</v>
      </c>
      <c r="H73" s="161" t="s">
        <v>183</v>
      </c>
      <c r="I73" s="161">
        <v>66</v>
      </c>
      <c r="J73" s="161" t="s">
        <v>389</v>
      </c>
      <c r="K73" s="21" t="s">
        <v>106</v>
      </c>
      <c r="L73" s="161" t="s">
        <v>3380</v>
      </c>
      <c r="M73" s="21" t="s">
        <v>2107</v>
      </c>
      <c r="N73" s="161" t="s">
        <v>67</v>
      </c>
      <c r="O73" s="21" t="s">
        <v>1553</v>
      </c>
      <c r="P73" s="161" t="s">
        <v>109</v>
      </c>
      <c r="Q73" s="21" t="s">
        <v>70</v>
      </c>
      <c r="R73" s="161">
        <v>70</v>
      </c>
      <c r="S73" s="161" t="s">
        <v>3536</v>
      </c>
      <c r="T73" s="161" t="s">
        <v>174</v>
      </c>
      <c r="U73" s="161" t="s">
        <v>73</v>
      </c>
      <c r="V73" s="21" t="s">
        <v>74</v>
      </c>
      <c r="W73" s="21" t="s">
        <v>75</v>
      </c>
      <c r="X73" s="161" t="s">
        <v>3656</v>
      </c>
      <c r="Y73" s="161">
        <v>2.5922862000000001E-2</v>
      </c>
      <c r="AA73" s="161" t="s">
        <v>77</v>
      </c>
      <c r="AB73" s="161" t="s">
        <v>114</v>
      </c>
      <c r="AC73" s="266" t="str">
        <f>HYPERLINK("https://gcsvt.ru/svetodiodnyie-svetilniki/SVT-Str-MPRO-53W-Ex-DUO-65/","Ссылка")</f>
        <v>Ссылка</v>
      </c>
      <c r="AD73" s="167">
        <v>48884</v>
      </c>
    </row>
    <row r="74" spans="1:30" s="161" customFormat="1" ht="39.950000000000003" hidden="1" customHeight="1" outlineLevel="2" x14ac:dyDescent="0.25">
      <c r="A74" s="21"/>
      <c r="B74" s="21" t="s">
        <v>3482</v>
      </c>
      <c r="C74" s="159" t="s">
        <v>3540</v>
      </c>
      <c r="D74" s="161">
        <v>16360</v>
      </c>
      <c r="E74" s="161">
        <v>106</v>
      </c>
      <c r="F74" s="161">
        <v>154</v>
      </c>
      <c r="G74" s="161" t="s">
        <v>3727</v>
      </c>
      <c r="H74" s="161" t="s">
        <v>186</v>
      </c>
      <c r="I74" s="161">
        <v>66</v>
      </c>
      <c r="J74" s="161" t="s">
        <v>389</v>
      </c>
      <c r="K74" s="21" t="s">
        <v>106</v>
      </c>
      <c r="L74" s="161" t="s">
        <v>3380</v>
      </c>
      <c r="M74" s="21" t="s">
        <v>2107</v>
      </c>
      <c r="N74" s="161" t="s">
        <v>67</v>
      </c>
      <c r="O74" s="21" t="s">
        <v>1553</v>
      </c>
      <c r="P74" s="161" t="s">
        <v>109</v>
      </c>
      <c r="Q74" s="21" t="s">
        <v>70</v>
      </c>
      <c r="R74" s="161">
        <v>70</v>
      </c>
      <c r="S74" s="161" t="s">
        <v>3536</v>
      </c>
      <c r="T74" s="161" t="s">
        <v>174</v>
      </c>
      <c r="U74" s="161" t="s">
        <v>73</v>
      </c>
      <c r="V74" s="21" t="s">
        <v>74</v>
      </c>
      <c r="W74" s="21" t="s">
        <v>75</v>
      </c>
      <c r="X74" s="161" t="s">
        <v>3656</v>
      </c>
      <c r="Y74" s="161">
        <v>2.5922862000000001E-2</v>
      </c>
      <c r="AA74" s="161" t="s">
        <v>77</v>
      </c>
      <c r="AB74" s="161" t="s">
        <v>114</v>
      </c>
      <c r="AC74" s="266" t="str">
        <f>HYPERLINK("https://gcsvt.ru/svetodiodnyie-svetilniki/SVT-Str-MPRO-53W-Ex-DUO-100/","Ссылка")</f>
        <v>Ссылка</v>
      </c>
      <c r="AD74" s="167">
        <v>48884</v>
      </c>
    </row>
    <row r="75" spans="1:30" s="161" customFormat="1" ht="39.950000000000003" hidden="1" customHeight="1" outlineLevel="2" x14ac:dyDescent="0.25">
      <c r="A75" s="21"/>
      <c r="B75" s="21" t="s">
        <v>3482</v>
      </c>
      <c r="C75" s="159" t="s">
        <v>3541</v>
      </c>
      <c r="D75" s="161">
        <v>16360</v>
      </c>
      <c r="E75" s="161">
        <v>106</v>
      </c>
      <c r="F75" s="161">
        <v>154</v>
      </c>
      <c r="G75" s="161" t="s">
        <v>3728</v>
      </c>
      <c r="H75" s="161" t="s">
        <v>189</v>
      </c>
      <c r="I75" s="161">
        <v>66</v>
      </c>
      <c r="J75" s="161" t="s">
        <v>389</v>
      </c>
      <c r="K75" s="21" t="s">
        <v>106</v>
      </c>
      <c r="L75" s="161" t="s">
        <v>3380</v>
      </c>
      <c r="M75" s="21" t="s">
        <v>2107</v>
      </c>
      <c r="N75" s="161" t="s">
        <v>67</v>
      </c>
      <c r="O75" s="21" t="s">
        <v>1553</v>
      </c>
      <c r="P75" s="161" t="s">
        <v>109</v>
      </c>
      <c r="Q75" s="21" t="s">
        <v>70</v>
      </c>
      <c r="R75" s="161">
        <v>70</v>
      </c>
      <c r="S75" s="161" t="s">
        <v>3536</v>
      </c>
      <c r="T75" s="161" t="s">
        <v>174</v>
      </c>
      <c r="U75" s="161" t="s">
        <v>73</v>
      </c>
      <c r="V75" s="21" t="s">
        <v>74</v>
      </c>
      <c r="W75" s="21" t="s">
        <v>75</v>
      </c>
      <c r="X75" s="161" t="s">
        <v>3656</v>
      </c>
      <c r="Y75" s="161">
        <v>2.5922862000000001E-2</v>
      </c>
      <c r="AA75" s="161" t="s">
        <v>77</v>
      </c>
      <c r="AB75" s="161" t="s">
        <v>114</v>
      </c>
      <c r="AC75" s="266" t="str">
        <f>HYPERLINK("https://gcsvt.ru/svetodiodnyie-svetilniki/SVT-Str-MPRO-53W-Ex-DUO-30x120/","Ссылка")</f>
        <v>Ссылка</v>
      </c>
      <c r="AD75" s="167">
        <v>48884</v>
      </c>
    </row>
    <row r="76" spans="1:30" s="161" customFormat="1" ht="39.950000000000003" hidden="1" customHeight="1" outlineLevel="2" x14ac:dyDescent="0.25">
      <c r="A76" s="21"/>
      <c r="B76" s="21" t="s">
        <v>3482</v>
      </c>
      <c r="C76" s="159" t="s">
        <v>3542</v>
      </c>
      <c r="D76" s="161">
        <v>16360</v>
      </c>
      <c r="E76" s="161">
        <v>106</v>
      </c>
      <c r="F76" s="161">
        <v>154</v>
      </c>
      <c r="G76" s="161" t="s">
        <v>3729</v>
      </c>
      <c r="H76" s="161" t="s">
        <v>192</v>
      </c>
      <c r="I76" s="161">
        <v>66</v>
      </c>
      <c r="J76" s="161" t="s">
        <v>389</v>
      </c>
      <c r="K76" s="21" t="s">
        <v>106</v>
      </c>
      <c r="L76" s="161" t="s">
        <v>3380</v>
      </c>
      <c r="M76" s="21" t="s">
        <v>2107</v>
      </c>
      <c r="N76" s="161" t="s">
        <v>67</v>
      </c>
      <c r="O76" s="21" t="s">
        <v>1553</v>
      </c>
      <c r="P76" s="161" t="s">
        <v>109</v>
      </c>
      <c r="Q76" s="21" t="s">
        <v>70</v>
      </c>
      <c r="R76" s="161">
        <v>70</v>
      </c>
      <c r="S76" s="161" t="s">
        <v>3536</v>
      </c>
      <c r="T76" s="161" t="s">
        <v>174</v>
      </c>
      <c r="U76" s="161" t="s">
        <v>73</v>
      </c>
      <c r="V76" s="21" t="s">
        <v>74</v>
      </c>
      <c r="W76" s="21" t="s">
        <v>75</v>
      </c>
      <c r="X76" s="161" t="s">
        <v>3656</v>
      </c>
      <c r="Y76" s="161">
        <v>2.5922862000000001E-2</v>
      </c>
      <c r="AA76" s="161" t="s">
        <v>77</v>
      </c>
      <c r="AB76" s="161" t="s">
        <v>114</v>
      </c>
      <c r="AC76" s="266" t="str">
        <f>HYPERLINK("https://gcsvt.ru/svetodiodnyie-svetilniki/SVT-Str-MPRO-53W-Ex-DUO-150/","Ссылка")</f>
        <v>Ссылка</v>
      </c>
      <c r="AD76" s="167">
        <v>48884</v>
      </c>
    </row>
    <row r="77" spans="1:30" s="161" customFormat="1" ht="39.950000000000003" hidden="1" customHeight="1" outlineLevel="2" x14ac:dyDescent="0.25">
      <c r="A77" s="21"/>
      <c r="B77" s="21" t="s">
        <v>3482</v>
      </c>
      <c r="C77" s="159" t="s">
        <v>3543</v>
      </c>
      <c r="D77" s="161">
        <v>24200</v>
      </c>
      <c r="E77" s="161">
        <v>158</v>
      </c>
      <c r="F77" s="161">
        <v>153</v>
      </c>
      <c r="G77" s="161" t="s">
        <v>3730</v>
      </c>
      <c r="H77" s="161" t="s">
        <v>63</v>
      </c>
      <c r="I77" s="161">
        <v>66</v>
      </c>
      <c r="J77" s="161" t="s">
        <v>389</v>
      </c>
      <c r="K77" s="21" t="s">
        <v>106</v>
      </c>
      <c r="L77" s="161" t="s">
        <v>3380</v>
      </c>
      <c r="M77" s="21" t="s">
        <v>2107</v>
      </c>
      <c r="N77" s="161" t="s">
        <v>67</v>
      </c>
      <c r="O77" s="21" t="s">
        <v>1553</v>
      </c>
      <c r="P77" s="161" t="s">
        <v>109</v>
      </c>
      <c r="Q77" s="21" t="s">
        <v>70</v>
      </c>
      <c r="R77" s="161">
        <v>70</v>
      </c>
      <c r="S77" s="161" t="s">
        <v>3544</v>
      </c>
      <c r="T77" s="161" t="s">
        <v>174</v>
      </c>
      <c r="U77" s="161" t="s">
        <v>73</v>
      </c>
      <c r="V77" s="21" t="s">
        <v>74</v>
      </c>
      <c r="W77" s="21" t="s">
        <v>75</v>
      </c>
      <c r="X77" s="161" t="s">
        <v>3657</v>
      </c>
      <c r="Y77" s="161">
        <v>3.8755962000000005E-2</v>
      </c>
      <c r="AA77" s="161" t="s">
        <v>77</v>
      </c>
      <c r="AB77" s="161" t="s">
        <v>114</v>
      </c>
      <c r="AC77" s="266" t="str">
        <f>HYPERLINK("https://gcsvt.ru/svetodiodnyie-svetilniki/SVT-Str-MPRO-79W-Ex-DUO-45x140/","Ссылка")</f>
        <v>Ссылка</v>
      </c>
      <c r="AD77" s="167">
        <v>62195</v>
      </c>
    </row>
    <row r="78" spans="1:30" s="161" customFormat="1" ht="39.950000000000003" hidden="1" customHeight="1" outlineLevel="2" x14ac:dyDescent="0.25">
      <c r="A78" s="21"/>
      <c r="B78" s="21" t="s">
        <v>3482</v>
      </c>
      <c r="C78" s="159" t="s">
        <v>3545</v>
      </c>
      <c r="D78" s="161">
        <v>24200</v>
      </c>
      <c r="E78" s="161">
        <v>158</v>
      </c>
      <c r="F78" s="161">
        <v>153</v>
      </c>
      <c r="G78" s="161" t="s">
        <v>3731</v>
      </c>
      <c r="H78" s="161" t="s">
        <v>177</v>
      </c>
      <c r="I78" s="161">
        <v>66</v>
      </c>
      <c r="J78" s="161" t="s">
        <v>389</v>
      </c>
      <c r="K78" s="21" t="s">
        <v>106</v>
      </c>
      <c r="L78" s="161" t="s">
        <v>3380</v>
      </c>
      <c r="M78" s="21" t="s">
        <v>2107</v>
      </c>
      <c r="N78" s="161" t="s">
        <v>67</v>
      </c>
      <c r="O78" s="21" t="s">
        <v>1553</v>
      </c>
      <c r="P78" s="161" t="s">
        <v>109</v>
      </c>
      <c r="Q78" s="21" t="s">
        <v>70</v>
      </c>
      <c r="R78" s="161">
        <v>70</v>
      </c>
      <c r="S78" s="161" t="s">
        <v>3544</v>
      </c>
      <c r="T78" s="161" t="s">
        <v>174</v>
      </c>
      <c r="U78" s="161" t="s">
        <v>73</v>
      </c>
      <c r="V78" s="21" t="s">
        <v>74</v>
      </c>
      <c r="W78" s="21" t="s">
        <v>75</v>
      </c>
      <c r="X78" s="161" t="s">
        <v>3657</v>
      </c>
      <c r="Y78" s="161">
        <v>3.8755962000000005E-2</v>
      </c>
      <c r="AA78" s="161" t="s">
        <v>77</v>
      </c>
      <c r="AB78" s="161" t="s">
        <v>114</v>
      </c>
      <c r="AC78" s="266" t="str">
        <f>HYPERLINK("https://gcsvt.ru/svetodiodnyie-svetilniki/SVT-Str-MPRO-79W-Ex-DUO-20/","Ссылка")</f>
        <v>Ссылка</v>
      </c>
      <c r="AD78" s="167">
        <v>62195</v>
      </c>
    </row>
    <row r="79" spans="1:30" s="161" customFormat="1" ht="39.950000000000003" hidden="1" customHeight="1" outlineLevel="2" x14ac:dyDescent="0.25">
      <c r="A79" s="21"/>
      <c r="B79" s="21" t="s">
        <v>3482</v>
      </c>
      <c r="C79" s="159" t="s">
        <v>3546</v>
      </c>
      <c r="D79" s="161">
        <v>24200</v>
      </c>
      <c r="E79" s="161">
        <v>158</v>
      </c>
      <c r="F79" s="161">
        <v>153</v>
      </c>
      <c r="G79" s="161" t="s">
        <v>3732</v>
      </c>
      <c r="H79" s="161" t="s">
        <v>180</v>
      </c>
      <c r="I79" s="161">
        <v>66</v>
      </c>
      <c r="J79" s="161" t="s">
        <v>389</v>
      </c>
      <c r="K79" s="21" t="s">
        <v>106</v>
      </c>
      <c r="L79" s="161" t="s">
        <v>3380</v>
      </c>
      <c r="M79" s="21" t="s">
        <v>2107</v>
      </c>
      <c r="N79" s="161" t="s">
        <v>67</v>
      </c>
      <c r="O79" s="21" t="s">
        <v>1553</v>
      </c>
      <c r="P79" s="161" t="s">
        <v>109</v>
      </c>
      <c r="Q79" s="21" t="s">
        <v>70</v>
      </c>
      <c r="R79" s="161">
        <v>70</v>
      </c>
      <c r="S79" s="161" t="s">
        <v>3544</v>
      </c>
      <c r="T79" s="161" t="s">
        <v>174</v>
      </c>
      <c r="U79" s="161" t="s">
        <v>73</v>
      </c>
      <c r="V79" s="21" t="s">
        <v>74</v>
      </c>
      <c r="W79" s="21" t="s">
        <v>75</v>
      </c>
      <c r="X79" s="161" t="s">
        <v>3657</v>
      </c>
      <c r="Y79" s="161">
        <v>3.8755962000000005E-2</v>
      </c>
      <c r="AA79" s="161" t="s">
        <v>77</v>
      </c>
      <c r="AB79" s="161" t="s">
        <v>114</v>
      </c>
      <c r="AC79" s="266" t="str">
        <f>HYPERLINK("https://gcsvt.ru/svetodiodnyie-svetilniki/SVT-Str-MPRO-79W-Ex-DUO-35/","Ссылка")</f>
        <v>Ссылка</v>
      </c>
      <c r="AD79" s="167">
        <v>62195</v>
      </c>
    </row>
    <row r="80" spans="1:30" s="161" customFormat="1" ht="39.950000000000003" hidden="1" customHeight="1" outlineLevel="2" x14ac:dyDescent="0.25">
      <c r="A80" s="21"/>
      <c r="B80" s="21" t="s">
        <v>3482</v>
      </c>
      <c r="C80" s="159" t="s">
        <v>3547</v>
      </c>
      <c r="D80" s="161">
        <v>24200</v>
      </c>
      <c r="E80" s="161">
        <v>158</v>
      </c>
      <c r="F80" s="161">
        <v>153</v>
      </c>
      <c r="G80" s="161" t="s">
        <v>3733</v>
      </c>
      <c r="H80" s="161" t="s">
        <v>183</v>
      </c>
      <c r="I80" s="161">
        <v>66</v>
      </c>
      <c r="J80" s="161" t="s">
        <v>389</v>
      </c>
      <c r="K80" s="21" t="s">
        <v>106</v>
      </c>
      <c r="L80" s="161" t="s">
        <v>3380</v>
      </c>
      <c r="M80" s="21" t="s">
        <v>2107</v>
      </c>
      <c r="N80" s="161" t="s">
        <v>67</v>
      </c>
      <c r="O80" s="21" t="s">
        <v>1553</v>
      </c>
      <c r="P80" s="161" t="s">
        <v>109</v>
      </c>
      <c r="Q80" s="21" t="s">
        <v>70</v>
      </c>
      <c r="R80" s="161">
        <v>70</v>
      </c>
      <c r="S80" s="161" t="s">
        <v>3544</v>
      </c>
      <c r="T80" s="161" t="s">
        <v>174</v>
      </c>
      <c r="U80" s="161" t="s">
        <v>73</v>
      </c>
      <c r="V80" s="21" t="s">
        <v>74</v>
      </c>
      <c r="W80" s="21" t="s">
        <v>75</v>
      </c>
      <c r="X80" s="161" t="s">
        <v>3657</v>
      </c>
      <c r="Y80" s="161">
        <v>3.8755962000000005E-2</v>
      </c>
      <c r="AA80" s="161" t="s">
        <v>77</v>
      </c>
      <c r="AB80" s="161" t="s">
        <v>114</v>
      </c>
      <c r="AC80" s="266" t="str">
        <f>HYPERLINK("https://gcsvt.ru/svetodiodnyie-svetilniki/SVT-Str-MPRO-79W-Ex-DUO-65/","Ссылка")</f>
        <v>Ссылка</v>
      </c>
      <c r="AD80" s="167">
        <v>62195</v>
      </c>
    </row>
    <row r="81" spans="1:30" s="161" customFormat="1" ht="39.950000000000003" hidden="1" customHeight="1" outlineLevel="2" x14ac:dyDescent="0.25">
      <c r="A81" s="21"/>
      <c r="B81" s="21" t="s">
        <v>3482</v>
      </c>
      <c r="C81" s="159" t="s">
        <v>3548</v>
      </c>
      <c r="D81" s="161">
        <v>24200</v>
      </c>
      <c r="E81" s="161">
        <v>158</v>
      </c>
      <c r="F81" s="161">
        <v>153</v>
      </c>
      <c r="G81" s="161" t="s">
        <v>3734</v>
      </c>
      <c r="H81" s="161" t="s">
        <v>186</v>
      </c>
      <c r="I81" s="161">
        <v>66</v>
      </c>
      <c r="J81" s="161" t="s">
        <v>389</v>
      </c>
      <c r="K81" s="21" t="s">
        <v>106</v>
      </c>
      <c r="L81" s="161" t="s">
        <v>3380</v>
      </c>
      <c r="M81" s="21" t="s">
        <v>2107</v>
      </c>
      <c r="N81" s="161" t="s">
        <v>67</v>
      </c>
      <c r="O81" s="21" t="s">
        <v>1553</v>
      </c>
      <c r="P81" s="161" t="s">
        <v>109</v>
      </c>
      <c r="Q81" s="21" t="s">
        <v>70</v>
      </c>
      <c r="R81" s="161">
        <v>70</v>
      </c>
      <c r="S81" s="161" t="s">
        <v>3544</v>
      </c>
      <c r="T81" s="161" t="s">
        <v>174</v>
      </c>
      <c r="U81" s="161" t="s">
        <v>73</v>
      </c>
      <c r="V81" s="21" t="s">
        <v>74</v>
      </c>
      <c r="W81" s="21" t="s">
        <v>75</v>
      </c>
      <c r="X81" s="161" t="s">
        <v>3657</v>
      </c>
      <c r="Y81" s="161">
        <v>3.8755962000000005E-2</v>
      </c>
      <c r="AA81" s="161" t="s">
        <v>77</v>
      </c>
      <c r="AB81" s="161" t="s">
        <v>114</v>
      </c>
      <c r="AC81" s="266" t="str">
        <f>HYPERLINK("https://gcsvt.ru/svetodiodnyie-svetilniki/SVT-Str-MPRO-79W-Ex-DUO-100/","Ссылка")</f>
        <v>Ссылка</v>
      </c>
      <c r="AD81" s="167">
        <v>62195</v>
      </c>
    </row>
    <row r="82" spans="1:30" s="161" customFormat="1" ht="39.950000000000003" hidden="1" customHeight="1" outlineLevel="2" x14ac:dyDescent="0.25">
      <c r="A82" s="21"/>
      <c r="B82" s="21" t="s">
        <v>3482</v>
      </c>
      <c r="C82" s="159" t="s">
        <v>3549</v>
      </c>
      <c r="D82" s="161">
        <v>24200</v>
      </c>
      <c r="E82" s="161">
        <v>158</v>
      </c>
      <c r="F82" s="161">
        <v>153</v>
      </c>
      <c r="G82" s="161" t="s">
        <v>3735</v>
      </c>
      <c r="H82" s="161" t="s">
        <v>189</v>
      </c>
      <c r="I82" s="161">
        <v>66</v>
      </c>
      <c r="J82" s="161" t="s">
        <v>389</v>
      </c>
      <c r="K82" s="21" t="s">
        <v>106</v>
      </c>
      <c r="L82" s="161" t="s">
        <v>3380</v>
      </c>
      <c r="M82" s="21" t="s">
        <v>2107</v>
      </c>
      <c r="N82" s="161" t="s">
        <v>67</v>
      </c>
      <c r="O82" s="21" t="s">
        <v>1553</v>
      </c>
      <c r="P82" s="161" t="s">
        <v>109</v>
      </c>
      <c r="Q82" s="21" t="s">
        <v>70</v>
      </c>
      <c r="R82" s="161">
        <v>70</v>
      </c>
      <c r="S82" s="161" t="s">
        <v>3544</v>
      </c>
      <c r="T82" s="161" t="s">
        <v>174</v>
      </c>
      <c r="U82" s="161" t="s">
        <v>73</v>
      </c>
      <c r="V82" s="21" t="s">
        <v>74</v>
      </c>
      <c r="W82" s="21" t="s">
        <v>75</v>
      </c>
      <c r="X82" s="161" t="s">
        <v>3657</v>
      </c>
      <c r="Y82" s="161">
        <v>3.8755962000000005E-2</v>
      </c>
      <c r="AA82" s="161" t="s">
        <v>77</v>
      </c>
      <c r="AB82" s="161" t="s">
        <v>114</v>
      </c>
      <c r="AC82" s="266" t="str">
        <f>HYPERLINK("https://gcsvt.ru/svetodiodnyie-svetilniki/SVT-Str-MPRO-79W-Ex-DUO-30x120/","Ссылка")</f>
        <v>Ссылка</v>
      </c>
      <c r="AD82" s="167">
        <v>62195</v>
      </c>
    </row>
    <row r="83" spans="1:30" s="161" customFormat="1" ht="39.950000000000003" hidden="1" customHeight="1" outlineLevel="2" x14ac:dyDescent="0.25">
      <c r="A83" s="21"/>
      <c r="B83" s="21" t="s">
        <v>3482</v>
      </c>
      <c r="C83" s="159" t="s">
        <v>3550</v>
      </c>
      <c r="D83" s="161">
        <v>24200</v>
      </c>
      <c r="E83" s="161">
        <v>158</v>
      </c>
      <c r="F83" s="161">
        <v>153</v>
      </c>
      <c r="G83" s="161" t="s">
        <v>3736</v>
      </c>
      <c r="H83" s="161" t="s">
        <v>192</v>
      </c>
      <c r="I83" s="161">
        <v>66</v>
      </c>
      <c r="J83" s="161" t="s">
        <v>389</v>
      </c>
      <c r="K83" s="21" t="s">
        <v>106</v>
      </c>
      <c r="L83" s="161" t="s">
        <v>3380</v>
      </c>
      <c r="M83" s="21" t="s">
        <v>2107</v>
      </c>
      <c r="N83" s="161" t="s">
        <v>67</v>
      </c>
      <c r="O83" s="21" t="s">
        <v>1553</v>
      </c>
      <c r="P83" s="161" t="s">
        <v>109</v>
      </c>
      <c r="Q83" s="21" t="s">
        <v>70</v>
      </c>
      <c r="R83" s="161">
        <v>70</v>
      </c>
      <c r="S83" s="161" t="s">
        <v>3544</v>
      </c>
      <c r="T83" s="161" t="s">
        <v>174</v>
      </c>
      <c r="U83" s="161" t="s">
        <v>73</v>
      </c>
      <c r="V83" s="21" t="s">
        <v>74</v>
      </c>
      <c r="W83" s="21" t="s">
        <v>75</v>
      </c>
      <c r="X83" s="161" t="s">
        <v>3657</v>
      </c>
      <c r="Y83" s="161">
        <v>3.8755962000000005E-2</v>
      </c>
      <c r="AA83" s="161" t="s">
        <v>77</v>
      </c>
      <c r="AB83" s="161" t="s">
        <v>114</v>
      </c>
      <c r="AC83" s="266" t="str">
        <f>HYPERLINK("https://gcsvt.ru/svetodiodnyie-svetilniki/SVT-Str-MPRO-79W-Ex-DUO-150/","Ссылка")</f>
        <v>Ссылка</v>
      </c>
      <c r="AD83" s="167">
        <v>62195</v>
      </c>
    </row>
    <row r="84" spans="1:30" s="161" customFormat="1" ht="39.950000000000003" hidden="1" customHeight="1" outlineLevel="2" x14ac:dyDescent="0.25">
      <c r="A84" s="21"/>
      <c r="B84" s="21" t="s">
        <v>3482</v>
      </c>
      <c r="C84" s="159" t="s">
        <v>3551</v>
      </c>
      <c r="D84" s="161">
        <v>33080</v>
      </c>
      <c r="E84" s="161">
        <v>204</v>
      </c>
      <c r="F84" s="161">
        <v>162</v>
      </c>
      <c r="G84" s="161" t="s">
        <v>3737</v>
      </c>
      <c r="H84" s="161" t="s">
        <v>63</v>
      </c>
      <c r="I84" s="161">
        <v>66</v>
      </c>
      <c r="J84" s="161" t="s">
        <v>389</v>
      </c>
      <c r="K84" s="21" t="s">
        <v>106</v>
      </c>
      <c r="L84" s="161" t="s">
        <v>3380</v>
      </c>
      <c r="M84" s="21" t="s">
        <v>2107</v>
      </c>
      <c r="N84" s="161" t="s">
        <v>67</v>
      </c>
      <c r="O84" s="21" t="s">
        <v>1553</v>
      </c>
      <c r="P84" s="161" t="s">
        <v>109</v>
      </c>
      <c r="Q84" s="21" t="s">
        <v>70</v>
      </c>
      <c r="R84" s="161">
        <v>70</v>
      </c>
      <c r="S84" s="161" t="s">
        <v>3552</v>
      </c>
      <c r="T84" s="161" t="s">
        <v>174</v>
      </c>
      <c r="U84" s="161" t="s">
        <v>73</v>
      </c>
      <c r="V84" s="21" t="s">
        <v>74</v>
      </c>
      <c r="W84" s="21" t="s">
        <v>75</v>
      </c>
      <c r="X84" s="161" t="s">
        <v>3658</v>
      </c>
      <c r="Y84" s="161">
        <v>5.1589062000000005E-2</v>
      </c>
      <c r="AA84" s="161" t="s">
        <v>77</v>
      </c>
      <c r="AB84" s="161" t="s">
        <v>114</v>
      </c>
      <c r="AC84" s="266" t="str">
        <f>HYPERLINK("https://gcsvt.ru/svetodiodnyie-svetilniki/SVT-Str-MPRO-102W-Ex-DUO-45x140/","Ссылка")</f>
        <v>Ссылка</v>
      </c>
      <c r="AD84" s="167">
        <v>64949</v>
      </c>
    </row>
    <row r="85" spans="1:30" s="161" customFormat="1" ht="39.950000000000003" hidden="1" customHeight="1" outlineLevel="2" x14ac:dyDescent="0.25">
      <c r="A85" s="21"/>
      <c r="B85" s="21" t="s">
        <v>3482</v>
      </c>
      <c r="C85" s="159" t="s">
        <v>3553</v>
      </c>
      <c r="D85" s="161">
        <v>33080</v>
      </c>
      <c r="E85" s="161">
        <v>204</v>
      </c>
      <c r="F85" s="161">
        <v>162</v>
      </c>
      <c r="G85" s="161" t="s">
        <v>3738</v>
      </c>
      <c r="H85" s="161" t="s">
        <v>177</v>
      </c>
      <c r="I85" s="161">
        <v>66</v>
      </c>
      <c r="J85" s="161" t="s">
        <v>389</v>
      </c>
      <c r="K85" s="21" t="s">
        <v>106</v>
      </c>
      <c r="L85" s="161" t="s">
        <v>3380</v>
      </c>
      <c r="M85" s="21" t="s">
        <v>2107</v>
      </c>
      <c r="N85" s="161" t="s">
        <v>67</v>
      </c>
      <c r="O85" s="21" t="s">
        <v>1553</v>
      </c>
      <c r="P85" s="161" t="s">
        <v>109</v>
      </c>
      <c r="Q85" s="21" t="s">
        <v>70</v>
      </c>
      <c r="R85" s="161">
        <v>70</v>
      </c>
      <c r="S85" s="161" t="s">
        <v>3552</v>
      </c>
      <c r="T85" s="161" t="s">
        <v>174</v>
      </c>
      <c r="U85" s="161" t="s">
        <v>73</v>
      </c>
      <c r="V85" s="21" t="s">
        <v>74</v>
      </c>
      <c r="W85" s="21" t="s">
        <v>75</v>
      </c>
      <c r="X85" s="161" t="s">
        <v>3658</v>
      </c>
      <c r="Y85" s="161">
        <v>5.1589062000000005E-2</v>
      </c>
      <c r="AA85" s="161" t="s">
        <v>77</v>
      </c>
      <c r="AB85" s="161" t="s">
        <v>114</v>
      </c>
      <c r="AC85" s="266" t="str">
        <f>HYPERLINK("https://gcsvt.ru/svetodiodnyie-svetilniki/SVT-Str-MPRO-102W-Ex-DUO-20/","Ссылка")</f>
        <v>Ссылка</v>
      </c>
      <c r="AD85" s="167">
        <v>64949</v>
      </c>
    </row>
    <row r="86" spans="1:30" s="161" customFormat="1" ht="39.950000000000003" hidden="1" customHeight="1" outlineLevel="2" x14ac:dyDescent="0.25">
      <c r="A86" s="21"/>
      <c r="B86" s="21" t="s">
        <v>3482</v>
      </c>
      <c r="C86" s="159" t="s">
        <v>3554</v>
      </c>
      <c r="D86" s="161">
        <v>33080</v>
      </c>
      <c r="E86" s="161">
        <v>204</v>
      </c>
      <c r="F86" s="161">
        <v>162</v>
      </c>
      <c r="G86" s="161" t="s">
        <v>3739</v>
      </c>
      <c r="H86" s="161" t="s">
        <v>180</v>
      </c>
      <c r="I86" s="161">
        <v>66</v>
      </c>
      <c r="J86" s="161" t="s">
        <v>389</v>
      </c>
      <c r="K86" s="21" t="s">
        <v>106</v>
      </c>
      <c r="L86" s="161" t="s">
        <v>3380</v>
      </c>
      <c r="M86" s="21" t="s">
        <v>2107</v>
      </c>
      <c r="N86" s="161" t="s">
        <v>67</v>
      </c>
      <c r="O86" s="21" t="s">
        <v>1553</v>
      </c>
      <c r="P86" s="161" t="s">
        <v>109</v>
      </c>
      <c r="Q86" s="21" t="s">
        <v>70</v>
      </c>
      <c r="R86" s="161">
        <v>70</v>
      </c>
      <c r="S86" s="161" t="s">
        <v>3552</v>
      </c>
      <c r="T86" s="161" t="s">
        <v>174</v>
      </c>
      <c r="U86" s="161" t="s">
        <v>73</v>
      </c>
      <c r="V86" s="21" t="s">
        <v>74</v>
      </c>
      <c r="W86" s="21" t="s">
        <v>75</v>
      </c>
      <c r="X86" s="161" t="s">
        <v>3658</v>
      </c>
      <c r="Y86" s="161">
        <v>5.1589062000000005E-2</v>
      </c>
      <c r="AA86" s="161" t="s">
        <v>77</v>
      </c>
      <c r="AB86" s="161" t="s">
        <v>114</v>
      </c>
      <c r="AC86" s="266" t="str">
        <f>HYPERLINK("https://gcsvt.ru/svetodiodnyie-svetilniki/SVT-Str-MPRO-102W-Ex-DUO-35/","Ссылка")</f>
        <v>Ссылка</v>
      </c>
      <c r="AD86" s="167">
        <v>64949</v>
      </c>
    </row>
    <row r="87" spans="1:30" s="161" customFormat="1" ht="39.950000000000003" hidden="1" customHeight="1" outlineLevel="2" x14ac:dyDescent="0.25">
      <c r="A87" s="21"/>
      <c r="B87" s="21" t="s">
        <v>3482</v>
      </c>
      <c r="C87" s="159" t="s">
        <v>3555</v>
      </c>
      <c r="D87" s="161">
        <v>33080</v>
      </c>
      <c r="E87" s="161">
        <v>204</v>
      </c>
      <c r="F87" s="161">
        <v>162</v>
      </c>
      <c r="G87" s="161" t="s">
        <v>3740</v>
      </c>
      <c r="H87" s="161" t="s">
        <v>183</v>
      </c>
      <c r="I87" s="161">
        <v>66</v>
      </c>
      <c r="J87" s="161" t="s">
        <v>389</v>
      </c>
      <c r="K87" s="21" t="s">
        <v>106</v>
      </c>
      <c r="L87" s="161" t="s">
        <v>3380</v>
      </c>
      <c r="M87" s="21" t="s">
        <v>2107</v>
      </c>
      <c r="N87" s="161" t="s">
        <v>67</v>
      </c>
      <c r="O87" s="21" t="s">
        <v>1553</v>
      </c>
      <c r="P87" s="161" t="s">
        <v>109</v>
      </c>
      <c r="Q87" s="21" t="s">
        <v>70</v>
      </c>
      <c r="R87" s="161">
        <v>70</v>
      </c>
      <c r="S87" s="161" t="s">
        <v>3552</v>
      </c>
      <c r="T87" s="161" t="s">
        <v>174</v>
      </c>
      <c r="U87" s="161" t="s">
        <v>73</v>
      </c>
      <c r="V87" s="21" t="s">
        <v>74</v>
      </c>
      <c r="W87" s="21" t="s">
        <v>75</v>
      </c>
      <c r="X87" s="161" t="s">
        <v>3658</v>
      </c>
      <c r="Y87" s="161">
        <v>5.1589062000000005E-2</v>
      </c>
      <c r="AA87" s="161" t="s">
        <v>77</v>
      </c>
      <c r="AB87" s="161" t="s">
        <v>114</v>
      </c>
      <c r="AC87" s="266" t="str">
        <f>HYPERLINK("https://gcsvt.ru/svetodiodnyie-svetilniki/SVT-Str-MPRO-102W-Ex-DUO-65/","Ссылка")</f>
        <v>Ссылка</v>
      </c>
      <c r="AD87" s="167">
        <v>64949</v>
      </c>
    </row>
    <row r="88" spans="1:30" s="161" customFormat="1" ht="39.950000000000003" hidden="1" customHeight="1" outlineLevel="2" x14ac:dyDescent="0.25">
      <c r="A88" s="21"/>
      <c r="B88" s="21" t="s">
        <v>3482</v>
      </c>
      <c r="C88" s="159" t="s">
        <v>3556</v>
      </c>
      <c r="D88" s="161">
        <v>33080</v>
      </c>
      <c r="E88" s="161">
        <v>204</v>
      </c>
      <c r="F88" s="161">
        <v>162</v>
      </c>
      <c r="G88" s="161" t="s">
        <v>3741</v>
      </c>
      <c r="H88" s="161" t="s">
        <v>186</v>
      </c>
      <c r="I88" s="161">
        <v>66</v>
      </c>
      <c r="J88" s="161" t="s">
        <v>389</v>
      </c>
      <c r="K88" s="21" t="s">
        <v>106</v>
      </c>
      <c r="L88" s="161" t="s">
        <v>3380</v>
      </c>
      <c r="M88" s="21" t="s">
        <v>2107</v>
      </c>
      <c r="N88" s="161" t="s">
        <v>67</v>
      </c>
      <c r="O88" s="21" t="s">
        <v>1553</v>
      </c>
      <c r="P88" s="161" t="s">
        <v>109</v>
      </c>
      <c r="Q88" s="21" t="s">
        <v>70</v>
      </c>
      <c r="R88" s="161">
        <v>70</v>
      </c>
      <c r="S88" s="161" t="s">
        <v>3552</v>
      </c>
      <c r="T88" s="161" t="s">
        <v>174</v>
      </c>
      <c r="U88" s="161" t="s">
        <v>73</v>
      </c>
      <c r="V88" s="21" t="s">
        <v>74</v>
      </c>
      <c r="W88" s="21" t="s">
        <v>75</v>
      </c>
      <c r="X88" s="161" t="s">
        <v>3658</v>
      </c>
      <c r="Y88" s="161">
        <v>5.1589062000000005E-2</v>
      </c>
      <c r="AA88" s="161" t="s">
        <v>77</v>
      </c>
      <c r="AB88" s="161" t="s">
        <v>114</v>
      </c>
      <c r="AC88" s="266" t="str">
        <f>HYPERLINK("https://gcsvt.ru/svetodiodnyie-svetilniki/SVT-Str-MPRO-102W-Ex-DUO-100/","Ссылка")</f>
        <v>Ссылка</v>
      </c>
      <c r="AD88" s="167">
        <v>64949</v>
      </c>
    </row>
    <row r="89" spans="1:30" s="161" customFormat="1" ht="39.950000000000003" hidden="1" customHeight="1" outlineLevel="2" x14ac:dyDescent="0.25">
      <c r="A89" s="21"/>
      <c r="B89" s="21" t="s">
        <v>3482</v>
      </c>
      <c r="C89" s="159" t="s">
        <v>3557</v>
      </c>
      <c r="D89" s="161">
        <v>33080</v>
      </c>
      <c r="E89" s="161">
        <v>204</v>
      </c>
      <c r="F89" s="161">
        <v>162</v>
      </c>
      <c r="G89" s="161" t="s">
        <v>3742</v>
      </c>
      <c r="H89" s="161" t="s">
        <v>189</v>
      </c>
      <c r="I89" s="161">
        <v>66</v>
      </c>
      <c r="J89" s="161" t="s">
        <v>389</v>
      </c>
      <c r="K89" s="21" t="s">
        <v>106</v>
      </c>
      <c r="L89" s="161" t="s">
        <v>3380</v>
      </c>
      <c r="M89" s="21" t="s">
        <v>2107</v>
      </c>
      <c r="N89" s="161" t="s">
        <v>67</v>
      </c>
      <c r="O89" s="21" t="s">
        <v>1553</v>
      </c>
      <c r="P89" s="161" t="s">
        <v>109</v>
      </c>
      <c r="Q89" s="21" t="s">
        <v>70</v>
      </c>
      <c r="R89" s="161">
        <v>70</v>
      </c>
      <c r="S89" s="161" t="s">
        <v>3552</v>
      </c>
      <c r="T89" s="161" t="s">
        <v>174</v>
      </c>
      <c r="U89" s="161" t="s">
        <v>73</v>
      </c>
      <c r="V89" s="21" t="s">
        <v>74</v>
      </c>
      <c r="W89" s="21" t="s">
        <v>75</v>
      </c>
      <c r="X89" s="161" t="s">
        <v>3658</v>
      </c>
      <c r="Y89" s="161">
        <v>5.1589062000000005E-2</v>
      </c>
      <c r="AA89" s="161" t="s">
        <v>77</v>
      </c>
      <c r="AB89" s="161" t="s">
        <v>114</v>
      </c>
      <c r="AC89" s="266" t="str">
        <f>HYPERLINK("https://gcsvt.ru/svetodiodnyie-svetilniki/SVT-Str-MPRO-102W-Ex-DUO-30x120/","Ссылка")</f>
        <v>Ссылка</v>
      </c>
      <c r="AD89" s="167">
        <v>64949</v>
      </c>
    </row>
    <row r="90" spans="1:30" s="161" customFormat="1" ht="39.950000000000003" hidden="1" customHeight="1" outlineLevel="2" x14ac:dyDescent="0.25">
      <c r="A90" s="21"/>
      <c r="B90" s="21" t="s">
        <v>3482</v>
      </c>
      <c r="C90" s="159" t="s">
        <v>3558</v>
      </c>
      <c r="D90" s="161">
        <v>33080</v>
      </c>
      <c r="E90" s="161">
        <v>204</v>
      </c>
      <c r="F90" s="161">
        <v>162</v>
      </c>
      <c r="G90" s="161" t="s">
        <v>3743</v>
      </c>
      <c r="H90" s="161" t="s">
        <v>192</v>
      </c>
      <c r="I90" s="161">
        <v>66</v>
      </c>
      <c r="J90" s="161" t="s">
        <v>389</v>
      </c>
      <c r="K90" s="21" t="s">
        <v>106</v>
      </c>
      <c r="L90" s="161" t="s">
        <v>3380</v>
      </c>
      <c r="M90" s="21" t="s">
        <v>2107</v>
      </c>
      <c r="N90" s="161" t="s">
        <v>67</v>
      </c>
      <c r="O90" s="21" t="s">
        <v>1553</v>
      </c>
      <c r="P90" s="161" t="s">
        <v>109</v>
      </c>
      <c r="Q90" s="21" t="s">
        <v>70</v>
      </c>
      <c r="R90" s="161">
        <v>70</v>
      </c>
      <c r="S90" s="161" t="s">
        <v>3552</v>
      </c>
      <c r="T90" s="161" t="s">
        <v>174</v>
      </c>
      <c r="U90" s="161" t="s">
        <v>73</v>
      </c>
      <c r="V90" s="21" t="s">
        <v>74</v>
      </c>
      <c r="W90" s="21" t="s">
        <v>75</v>
      </c>
      <c r="X90" s="161" t="s">
        <v>3658</v>
      </c>
      <c r="Y90" s="161">
        <v>5.1589062000000005E-2</v>
      </c>
      <c r="AA90" s="161" t="s">
        <v>77</v>
      </c>
      <c r="AB90" s="161" t="s">
        <v>114</v>
      </c>
      <c r="AC90" s="266" t="str">
        <f>HYPERLINK("https://gcsvt.ru/svetodiodnyie-svetilniki/SVT-Str-MPRO-102W-Ex-DUO-150/","Ссылка")</f>
        <v>Ссылка</v>
      </c>
      <c r="AD90" s="167">
        <v>64949</v>
      </c>
    </row>
    <row r="91" spans="1:30" s="161" customFormat="1" ht="39.950000000000003" hidden="1" customHeight="1" outlineLevel="2" x14ac:dyDescent="0.25">
      <c r="A91" s="21"/>
      <c r="B91" s="21" t="s">
        <v>3482</v>
      </c>
      <c r="C91" s="159" t="s">
        <v>3559</v>
      </c>
      <c r="D91" s="161">
        <v>24540</v>
      </c>
      <c r="E91" s="161">
        <v>159</v>
      </c>
      <c r="F91" s="161">
        <v>154</v>
      </c>
      <c r="G91" s="161" t="s">
        <v>3744</v>
      </c>
      <c r="H91" s="161" t="s">
        <v>63</v>
      </c>
      <c r="I91" s="161">
        <v>66</v>
      </c>
      <c r="J91" s="161" t="s">
        <v>389</v>
      </c>
      <c r="K91" s="21" t="s">
        <v>106</v>
      </c>
      <c r="L91" s="161" t="s">
        <v>3380</v>
      </c>
      <c r="M91" s="21" t="s">
        <v>2107</v>
      </c>
      <c r="N91" s="161" t="s">
        <v>67</v>
      </c>
      <c r="O91" s="21" t="s">
        <v>1553</v>
      </c>
      <c r="P91" s="161" t="s">
        <v>109</v>
      </c>
      <c r="Q91" s="21" t="s">
        <v>70</v>
      </c>
      <c r="R91" s="161">
        <v>70</v>
      </c>
      <c r="S91" s="161" t="s">
        <v>3560</v>
      </c>
      <c r="T91" s="161" t="s">
        <v>174</v>
      </c>
      <c r="U91" s="161" t="s">
        <v>73</v>
      </c>
      <c r="V91" s="21" t="s">
        <v>74</v>
      </c>
      <c r="W91" s="21" t="s">
        <v>75</v>
      </c>
      <c r="X91" s="161" t="s">
        <v>3659</v>
      </c>
      <c r="Y91" s="161">
        <v>3.9501504E-2</v>
      </c>
      <c r="AA91" s="161" t="s">
        <v>77</v>
      </c>
      <c r="AB91" s="161" t="s">
        <v>114</v>
      </c>
      <c r="AC91" s="266" t="str">
        <f>HYPERLINK("https://gcsvt.ru/svetodiodnyie-svetilniki/SVT-Str-MPRO-53W-Ex-TRIO-45x140/","Ссылка")</f>
        <v>Ссылка</v>
      </c>
      <c r="AD91" s="167">
        <v>63342</v>
      </c>
    </row>
    <row r="92" spans="1:30" s="161" customFormat="1" ht="39.950000000000003" hidden="1" customHeight="1" outlineLevel="2" x14ac:dyDescent="0.25">
      <c r="A92" s="21"/>
      <c r="B92" s="21" t="s">
        <v>3482</v>
      </c>
      <c r="C92" s="159" t="s">
        <v>3561</v>
      </c>
      <c r="D92" s="161">
        <v>24540</v>
      </c>
      <c r="E92" s="161">
        <v>159</v>
      </c>
      <c r="F92" s="161">
        <v>154</v>
      </c>
      <c r="G92" s="161" t="s">
        <v>3745</v>
      </c>
      <c r="H92" s="161" t="s">
        <v>177</v>
      </c>
      <c r="I92" s="161">
        <v>66</v>
      </c>
      <c r="J92" s="161" t="s">
        <v>389</v>
      </c>
      <c r="K92" s="21" t="s">
        <v>106</v>
      </c>
      <c r="L92" s="161" t="s">
        <v>3380</v>
      </c>
      <c r="M92" s="21" t="s">
        <v>2107</v>
      </c>
      <c r="N92" s="161" t="s">
        <v>67</v>
      </c>
      <c r="O92" s="21" t="s">
        <v>1553</v>
      </c>
      <c r="P92" s="161" t="s">
        <v>109</v>
      </c>
      <c r="Q92" s="21" t="s">
        <v>70</v>
      </c>
      <c r="R92" s="161">
        <v>70</v>
      </c>
      <c r="S92" s="161" t="s">
        <v>3560</v>
      </c>
      <c r="T92" s="161" t="s">
        <v>174</v>
      </c>
      <c r="U92" s="161" t="s">
        <v>73</v>
      </c>
      <c r="V92" s="21" t="s">
        <v>74</v>
      </c>
      <c r="W92" s="21" t="s">
        <v>75</v>
      </c>
      <c r="X92" s="161" t="s">
        <v>3659</v>
      </c>
      <c r="Y92" s="161">
        <v>3.9501504E-2</v>
      </c>
      <c r="AA92" s="161" t="s">
        <v>77</v>
      </c>
      <c r="AB92" s="161" t="s">
        <v>114</v>
      </c>
      <c r="AC92" s="266" t="str">
        <f>HYPERLINK("https://gcsvt.ru/svetodiodnyie-svetilniki/SVT-Str-MPRO-53W-Ex-TRIO-20/","Ссылка")</f>
        <v>Ссылка</v>
      </c>
      <c r="AD92" s="167">
        <v>63342</v>
      </c>
    </row>
    <row r="93" spans="1:30" s="161" customFormat="1" ht="39.950000000000003" hidden="1" customHeight="1" outlineLevel="2" x14ac:dyDescent="0.25">
      <c r="A93" s="21"/>
      <c r="B93" s="21" t="s">
        <v>3482</v>
      </c>
      <c r="C93" s="159" t="s">
        <v>3562</v>
      </c>
      <c r="D93" s="161">
        <v>24540</v>
      </c>
      <c r="E93" s="161">
        <v>159</v>
      </c>
      <c r="F93" s="161">
        <v>154</v>
      </c>
      <c r="G93" s="161" t="s">
        <v>3746</v>
      </c>
      <c r="H93" s="161" t="s">
        <v>180</v>
      </c>
      <c r="I93" s="161">
        <v>66</v>
      </c>
      <c r="J93" s="161" t="s">
        <v>389</v>
      </c>
      <c r="K93" s="21" t="s">
        <v>106</v>
      </c>
      <c r="L93" s="161" t="s">
        <v>3380</v>
      </c>
      <c r="M93" s="21" t="s">
        <v>2107</v>
      </c>
      <c r="N93" s="161" t="s">
        <v>67</v>
      </c>
      <c r="O93" s="21" t="s">
        <v>1553</v>
      </c>
      <c r="P93" s="161" t="s">
        <v>109</v>
      </c>
      <c r="Q93" s="21" t="s">
        <v>70</v>
      </c>
      <c r="R93" s="161">
        <v>70</v>
      </c>
      <c r="S93" s="161" t="s">
        <v>3560</v>
      </c>
      <c r="T93" s="161" t="s">
        <v>174</v>
      </c>
      <c r="U93" s="161" t="s">
        <v>73</v>
      </c>
      <c r="V93" s="21" t="s">
        <v>74</v>
      </c>
      <c r="W93" s="21" t="s">
        <v>75</v>
      </c>
      <c r="X93" s="161" t="s">
        <v>3659</v>
      </c>
      <c r="Y93" s="161">
        <v>3.9501504E-2</v>
      </c>
      <c r="AA93" s="161" t="s">
        <v>77</v>
      </c>
      <c r="AB93" s="161" t="s">
        <v>114</v>
      </c>
      <c r="AC93" s="266" t="str">
        <f>HYPERLINK("https://gcsvt.ru/svetodiodnyie-svetilniki/SVT-Str-MPRO-53W-Ex-TRIO-35/","Ссылка")</f>
        <v>Ссылка</v>
      </c>
      <c r="AD93" s="167">
        <v>63342</v>
      </c>
    </row>
    <row r="94" spans="1:30" s="161" customFormat="1" ht="39.950000000000003" hidden="1" customHeight="1" outlineLevel="2" x14ac:dyDescent="0.25">
      <c r="A94" s="21"/>
      <c r="B94" s="21" t="s">
        <v>3482</v>
      </c>
      <c r="C94" s="159" t="s">
        <v>3563</v>
      </c>
      <c r="D94" s="161">
        <v>24540</v>
      </c>
      <c r="E94" s="161">
        <v>159</v>
      </c>
      <c r="F94" s="161">
        <v>154</v>
      </c>
      <c r="G94" s="161" t="s">
        <v>3747</v>
      </c>
      <c r="H94" s="161" t="s">
        <v>183</v>
      </c>
      <c r="I94" s="161">
        <v>66</v>
      </c>
      <c r="J94" s="161" t="s">
        <v>389</v>
      </c>
      <c r="K94" s="21" t="s">
        <v>106</v>
      </c>
      <c r="L94" s="161" t="s">
        <v>3380</v>
      </c>
      <c r="M94" s="21" t="s">
        <v>2107</v>
      </c>
      <c r="N94" s="161" t="s">
        <v>67</v>
      </c>
      <c r="O94" s="21" t="s">
        <v>1553</v>
      </c>
      <c r="P94" s="161" t="s">
        <v>109</v>
      </c>
      <c r="Q94" s="21" t="s">
        <v>70</v>
      </c>
      <c r="R94" s="161">
        <v>70</v>
      </c>
      <c r="S94" s="161" t="s">
        <v>3560</v>
      </c>
      <c r="T94" s="161" t="s">
        <v>174</v>
      </c>
      <c r="U94" s="161" t="s">
        <v>73</v>
      </c>
      <c r="V94" s="21" t="s">
        <v>74</v>
      </c>
      <c r="W94" s="21" t="s">
        <v>75</v>
      </c>
      <c r="X94" s="161" t="s">
        <v>3659</v>
      </c>
      <c r="Y94" s="161">
        <v>3.9501504E-2</v>
      </c>
      <c r="AA94" s="161" t="s">
        <v>77</v>
      </c>
      <c r="AB94" s="161" t="s">
        <v>114</v>
      </c>
      <c r="AC94" s="266" t="str">
        <f>HYPERLINK("https://gcsvt.ru/svetodiodnyie-svetilniki/SVT-Str-MPRO-53W-Ex-TRIO-65/","Ссылка")</f>
        <v>Ссылка</v>
      </c>
      <c r="AD94" s="167">
        <v>63342</v>
      </c>
    </row>
    <row r="95" spans="1:30" s="161" customFormat="1" ht="39.950000000000003" hidden="1" customHeight="1" outlineLevel="2" x14ac:dyDescent="0.25">
      <c r="A95" s="21"/>
      <c r="B95" s="21" t="s">
        <v>3482</v>
      </c>
      <c r="C95" s="159" t="s">
        <v>3564</v>
      </c>
      <c r="D95" s="161">
        <v>24540</v>
      </c>
      <c r="E95" s="161">
        <v>159</v>
      </c>
      <c r="F95" s="161">
        <v>154</v>
      </c>
      <c r="G95" s="161" t="s">
        <v>3748</v>
      </c>
      <c r="H95" s="161" t="s">
        <v>186</v>
      </c>
      <c r="I95" s="161">
        <v>66</v>
      </c>
      <c r="J95" s="161" t="s">
        <v>389</v>
      </c>
      <c r="K95" s="21" t="s">
        <v>106</v>
      </c>
      <c r="L95" s="161" t="s">
        <v>3380</v>
      </c>
      <c r="M95" s="21" t="s">
        <v>2107</v>
      </c>
      <c r="N95" s="161" t="s">
        <v>67</v>
      </c>
      <c r="O95" s="21" t="s">
        <v>1553</v>
      </c>
      <c r="P95" s="161" t="s">
        <v>109</v>
      </c>
      <c r="Q95" s="21" t="s">
        <v>70</v>
      </c>
      <c r="R95" s="161">
        <v>70</v>
      </c>
      <c r="S95" s="161" t="s">
        <v>3560</v>
      </c>
      <c r="T95" s="161" t="s">
        <v>174</v>
      </c>
      <c r="U95" s="161" t="s">
        <v>73</v>
      </c>
      <c r="V95" s="21" t="s">
        <v>74</v>
      </c>
      <c r="W95" s="21" t="s">
        <v>75</v>
      </c>
      <c r="X95" s="161" t="s">
        <v>3659</v>
      </c>
      <c r="Y95" s="161">
        <v>3.9501504E-2</v>
      </c>
      <c r="AA95" s="161" t="s">
        <v>77</v>
      </c>
      <c r="AB95" s="161" t="s">
        <v>114</v>
      </c>
      <c r="AC95" s="266" t="str">
        <f>HYPERLINK("https://gcsvt.ru/svetodiodnyie-svetilniki/SVT-Str-MPRO-53W-Ex-TRIO-100/","Ссылка")</f>
        <v>Ссылка</v>
      </c>
      <c r="AD95" s="167">
        <v>63342</v>
      </c>
    </row>
    <row r="96" spans="1:30" s="161" customFormat="1" ht="39.950000000000003" hidden="1" customHeight="1" outlineLevel="2" x14ac:dyDescent="0.25">
      <c r="A96" s="21"/>
      <c r="B96" s="21" t="s">
        <v>3482</v>
      </c>
      <c r="C96" s="159" t="s">
        <v>3565</v>
      </c>
      <c r="D96" s="161">
        <v>24540</v>
      </c>
      <c r="E96" s="161">
        <v>159</v>
      </c>
      <c r="F96" s="161">
        <v>154</v>
      </c>
      <c r="G96" s="161" t="s">
        <v>3749</v>
      </c>
      <c r="H96" s="161" t="s">
        <v>189</v>
      </c>
      <c r="I96" s="161">
        <v>66</v>
      </c>
      <c r="J96" s="161" t="s">
        <v>389</v>
      </c>
      <c r="K96" s="21" t="s">
        <v>106</v>
      </c>
      <c r="L96" s="161" t="s">
        <v>3380</v>
      </c>
      <c r="M96" s="21" t="s">
        <v>2107</v>
      </c>
      <c r="N96" s="161" t="s">
        <v>67</v>
      </c>
      <c r="O96" s="21" t="s">
        <v>1553</v>
      </c>
      <c r="P96" s="161" t="s">
        <v>109</v>
      </c>
      <c r="Q96" s="21" t="s">
        <v>70</v>
      </c>
      <c r="R96" s="161">
        <v>70</v>
      </c>
      <c r="S96" s="161" t="s">
        <v>3560</v>
      </c>
      <c r="T96" s="161" t="s">
        <v>174</v>
      </c>
      <c r="U96" s="161" t="s">
        <v>73</v>
      </c>
      <c r="V96" s="21" t="s">
        <v>74</v>
      </c>
      <c r="W96" s="21" t="s">
        <v>75</v>
      </c>
      <c r="X96" s="161" t="s">
        <v>3659</v>
      </c>
      <c r="Y96" s="161">
        <v>3.9501504E-2</v>
      </c>
      <c r="AA96" s="161" t="s">
        <v>77</v>
      </c>
      <c r="AB96" s="161" t="s">
        <v>114</v>
      </c>
      <c r="AC96" s="266" t="str">
        <f>HYPERLINK("https://gcsvt.ru/svetodiodnyie-svetilniki/SVT-Str-MPRO-53W-Ex-TRIO-30x120/","Ссылка")</f>
        <v>Ссылка</v>
      </c>
      <c r="AD96" s="167">
        <v>63342</v>
      </c>
    </row>
    <row r="97" spans="1:30" s="161" customFormat="1" ht="39.950000000000003" hidden="1" customHeight="1" outlineLevel="2" x14ac:dyDescent="0.25">
      <c r="A97" s="21"/>
      <c r="B97" s="21" t="s">
        <v>3482</v>
      </c>
      <c r="C97" s="159" t="s">
        <v>3566</v>
      </c>
      <c r="D97" s="161">
        <v>24540</v>
      </c>
      <c r="E97" s="161">
        <v>159</v>
      </c>
      <c r="F97" s="161">
        <v>154</v>
      </c>
      <c r="G97" s="161" t="s">
        <v>3750</v>
      </c>
      <c r="H97" s="161" t="s">
        <v>192</v>
      </c>
      <c r="I97" s="161">
        <v>66</v>
      </c>
      <c r="J97" s="161" t="s">
        <v>389</v>
      </c>
      <c r="K97" s="21" t="s">
        <v>106</v>
      </c>
      <c r="L97" s="161" t="s">
        <v>3380</v>
      </c>
      <c r="M97" s="21" t="s">
        <v>2107</v>
      </c>
      <c r="N97" s="161" t="s">
        <v>67</v>
      </c>
      <c r="O97" s="21" t="s">
        <v>1553</v>
      </c>
      <c r="P97" s="161" t="s">
        <v>109</v>
      </c>
      <c r="Q97" s="21" t="s">
        <v>70</v>
      </c>
      <c r="R97" s="161">
        <v>70</v>
      </c>
      <c r="S97" s="161" t="s">
        <v>3560</v>
      </c>
      <c r="T97" s="161" t="s">
        <v>174</v>
      </c>
      <c r="U97" s="161" t="s">
        <v>73</v>
      </c>
      <c r="V97" s="21" t="s">
        <v>74</v>
      </c>
      <c r="W97" s="21" t="s">
        <v>75</v>
      </c>
      <c r="X97" s="161" t="s">
        <v>3659</v>
      </c>
      <c r="Y97" s="161">
        <v>3.9501504E-2</v>
      </c>
      <c r="AA97" s="161" t="s">
        <v>77</v>
      </c>
      <c r="AB97" s="161" t="s">
        <v>114</v>
      </c>
      <c r="AC97" s="266" t="str">
        <f>HYPERLINK("https://gcsvt.ru/svetodiodnyie-svetilniki/SVT-Str-MPRO-53W-Ex-TRIO-150/","Ссылка")</f>
        <v>Ссылка</v>
      </c>
      <c r="AD97" s="167">
        <v>63342</v>
      </c>
    </row>
    <row r="98" spans="1:30" s="161" customFormat="1" ht="39.950000000000003" hidden="1" customHeight="1" outlineLevel="2" x14ac:dyDescent="0.25">
      <c r="A98" s="21"/>
      <c r="B98" s="21" t="s">
        <v>3482</v>
      </c>
      <c r="C98" s="159" t="s">
        <v>3567</v>
      </c>
      <c r="D98" s="161">
        <v>36300</v>
      </c>
      <c r="E98" s="161">
        <v>237</v>
      </c>
      <c r="F98" s="161">
        <v>153</v>
      </c>
      <c r="G98" s="161" t="s">
        <v>3751</v>
      </c>
      <c r="H98" s="161" t="s">
        <v>63</v>
      </c>
      <c r="I98" s="161">
        <v>66</v>
      </c>
      <c r="J98" s="161" t="s">
        <v>389</v>
      </c>
      <c r="K98" s="21" t="s">
        <v>106</v>
      </c>
      <c r="L98" s="161" t="s">
        <v>3380</v>
      </c>
      <c r="M98" s="21" t="s">
        <v>2107</v>
      </c>
      <c r="N98" s="161" t="s">
        <v>67</v>
      </c>
      <c r="O98" s="21" t="s">
        <v>1553</v>
      </c>
      <c r="P98" s="161" t="s">
        <v>109</v>
      </c>
      <c r="Q98" s="21" t="s">
        <v>70</v>
      </c>
      <c r="R98" s="161">
        <v>70</v>
      </c>
      <c r="S98" s="161" t="s">
        <v>3568</v>
      </c>
      <c r="T98" s="161" t="s">
        <v>174</v>
      </c>
      <c r="U98" s="161" t="s">
        <v>73</v>
      </c>
      <c r="V98" s="21" t="s">
        <v>74</v>
      </c>
      <c r="W98" s="21" t="s">
        <v>75</v>
      </c>
      <c r="X98" s="161" t="s">
        <v>3660</v>
      </c>
      <c r="Y98" s="161">
        <v>5.9056704000000002E-2</v>
      </c>
      <c r="AA98" s="161" t="s">
        <v>77</v>
      </c>
      <c r="AB98" s="161" t="s">
        <v>114</v>
      </c>
      <c r="AC98" s="266" t="str">
        <f>HYPERLINK("https://gcsvt.ru/svetodiodnyie-svetilniki/SVT-Str-MPRO-79W-Ex-TRIO-45x140/","Ссылка")</f>
        <v>Ссылка</v>
      </c>
      <c r="AD98" s="167">
        <v>87210</v>
      </c>
    </row>
    <row r="99" spans="1:30" s="161" customFormat="1" ht="39.950000000000003" hidden="1" customHeight="1" outlineLevel="2" x14ac:dyDescent="0.25">
      <c r="A99" s="21"/>
      <c r="B99" s="21" t="s">
        <v>3482</v>
      </c>
      <c r="C99" s="159" t="s">
        <v>3569</v>
      </c>
      <c r="D99" s="161">
        <v>36300</v>
      </c>
      <c r="E99" s="161">
        <v>237</v>
      </c>
      <c r="F99" s="161">
        <v>153</v>
      </c>
      <c r="G99" s="161" t="s">
        <v>3752</v>
      </c>
      <c r="H99" s="161" t="s">
        <v>177</v>
      </c>
      <c r="I99" s="161">
        <v>66</v>
      </c>
      <c r="J99" s="161" t="s">
        <v>389</v>
      </c>
      <c r="K99" s="21" t="s">
        <v>106</v>
      </c>
      <c r="L99" s="161" t="s">
        <v>3380</v>
      </c>
      <c r="M99" s="21" t="s">
        <v>2107</v>
      </c>
      <c r="N99" s="161" t="s">
        <v>67</v>
      </c>
      <c r="O99" s="21" t="s">
        <v>1553</v>
      </c>
      <c r="P99" s="161" t="s">
        <v>109</v>
      </c>
      <c r="Q99" s="21" t="s">
        <v>70</v>
      </c>
      <c r="R99" s="161">
        <v>70</v>
      </c>
      <c r="S99" s="161" t="s">
        <v>3568</v>
      </c>
      <c r="T99" s="161" t="s">
        <v>174</v>
      </c>
      <c r="U99" s="161" t="s">
        <v>73</v>
      </c>
      <c r="V99" s="21" t="s">
        <v>74</v>
      </c>
      <c r="W99" s="21" t="s">
        <v>75</v>
      </c>
      <c r="X99" s="161" t="s">
        <v>3660</v>
      </c>
      <c r="Y99" s="161">
        <v>5.9056704000000002E-2</v>
      </c>
      <c r="AA99" s="161" t="s">
        <v>77</v>
      </c>
      <c r="AB99" s="161" t="s">
        <v>114</v>
      </c>
      <c r="AC99" s="266" t="str">
        <f>HYPERLINK("https://gcsvt.ru/svetodiodnyie-svetilniki/SVT-Str-MPRO-79W-Ex-TRIO-20/","Ссылка")</f>
        <v>Ссылка</v>
      </c>
      <c r="AD99" s="167">
        <v>87210</v>
      </c>
    </row>
    <row r="100" spans="1:30" s="161" customFormat="1" ht="39.950000000000003" hidden="1" customHeight="1" outlineLevel="2" x14ac:dyDescent="0.25">
      <c r="A100" s="21"/>
      <c r="B100" s="21" t="s">
        <v>3482</v>
      </c>
      <c r="C100" s="159" t="s">
        <v>3570</v>
      </c>
      <c r="D100" s="161">
        <v>36300</v>
      </c>
      <c r="E100" s="161">
        <v>237</v>
      </c>
      <c r="F100" s="161">
        <v>153</v>
      </c>
      <c r="G100" s="161" t="s">
        <v>3753</v>
      </c>
      <c r="H100" s="161" t="s">
        <v>180</v>
      </c>
      <c r="I100" s="161">
        <v>66</v>
      </c>
      <c r="J100" s="161" t="s">
        <v>389</v>
      </c>
      <c r="K100" s="21" t="s">
        <v>106</v>
      </c>
      <c r="L100" s="161" t="s">
        <v>3380</v>
      </c>
      <c r="M100" s="21" t="s">
        <v>2107</v>
      </c>
      <c r="N100" s="161" t="s">
        <v>67</v>
      </c>
      <c r="O100" s="21" t="s">
        <v>1553</v>
      </c>
      <c r="P100" s="161" t="s">
        <v>109</v>
      </c>
      <c r="Q100" s="21" t="s">
        <v>70</v>
      </c>
      <c r="R100" s="161">
        <v>70</v>
      </c>
      <c r="S100" s="161" t="s">
        <v>3568</v>
      </c>
      <c r="T100" s="161" t="s">
        <v>174</v>
      </c>
      <c r="U100" s="161" t="s">
        <v>73</v>
      </c>
      <c r="V100" s="21" t="s">
        <v>74</v>
      </c>
      <c r="W100" s="21" t="s">
        <v>75</v>
      </c>
      <c r="X100" s="161" t="s">
        <v>3660</v>
      </c>
      <c r="Y100" s="161">
        <v>5.9056704000000002E-2</v>
      </c>
      <c r="AA100" s="161" t="s">
        <v>77</v>
      </c>
      <c r="AB100" s="161" t="s">
        <v>114</v>
      </c>
      <c r="AC100" s="266" t="str">
        <f>HYPERLINK("https://gcsvt.ru/svetodiodnyie-svetilniki/SVT-Str-MPRO-79W-Ex-TRIO-35/","Ссылка")</f>
        <v>Ссылка</v>
      </c>
      <c r="AD100" s="167">
        <v>87210</v>
      </c>
    </row>
    <row r="101" spans="1:30" s="161" customFormat="1" ht="39.950000000000003" hidden="1" customHeight="1" outlineLevel="2" x14ac:dyDescent="0.25">
      <c r="A101" s="21"/>
      <c r="B101" s="21" t="s">
        <v>3482</v>
      </c>
      <c r="C101" s="159" t="s">
        <v>3571</v>
      </c>
      <c r="D101" s="161">
        <v>36300</v>
      </c>
      <c r="E101" s="161">
        <v>237</v>
      </c>
      <c r="F101" s="161">
        <v>153</v>
      </c>
      <c r="G101" s="161" t="s">
        <v>3754</v>
      </c>
      <c r="H101" s="161" t="s">
        <v>183</v>
      </c>
      <c r="I101" s="161">
        <v>66</v>
      </c>
      <c r="J101" s="161" t="s">
        <v>389</v>
      </c>
      <c r="K101" s="21" t="s">
        <v>106</v>
      </c>
      <c r="L101" s="161" t="s">
        <v>3380</v>
      </c>
      <c r="M101" s="21" t="s">
        <v>2107</v>
      </c>
      <c r="N101" s="161" t="s">
        <v>67</v>
      </c>
      <c r="O101" s="21" t="s">
        <v>1553</v>
      </c>
      <c r="P101" s="161" t="s">
        <v>109</v>
      </c>
      <c r="Q101" s="21" t="s">
        <v>70</v>
      </c>
      <c r="R101" s="161">
        <v>70</v>
      </c>
      <c r="S101" s="161" t="s">
        <v>3568</v>
      </c>
      <c r="T101" s="161" t="s">
        <v>174</v>
      </c>
      <c r="U101" s="161" t="s">
        <v>73</v>
      </c>
      <c r="V101" s="21" t="s">
        <v>74</v>
      </c>
      <c r="W101" s="21" t="s">
        <v>75</v>
      </c>
      <c r="X101" s="161" t="s">
        <v>3660</v>
      </c>
      <c r="Y101" s="161">
        <v>5.9056704000000002E-2</v>
      </c>
      <c r="AA101" s="161" t="s">
        <v>77</v>
      </c>
      <c r="AB101" s="161" t="s">
        <v>114</v>
      </c>
      <c r="AC101" s="266" t="str">
        <f>HYPERLINK("https://gcsvt.ru/svetodiodnyie-svetilniki/SVT-Str-MPRO-79W-Ex-TRIO-65/","Ссылка")</f>
        <v>Ссылка</v>
      </c>
      <c r="AD101" s="167">
        <v>87210</v>
      </c>
    </row>
    <row r="102" spans="1:30" s="161" customFormat="1" ht="39.950000000000003" hidden="1" customHeight="1" outlineLevel="2" x14ac:dyDescent="0.25">
      <c r="A102" s="21"/>
      <c r="B102" s="21" t="s">
        <v>3482</v>
      </c>
      <c r="C102" s="159" t="s">
        <v>3572</v>
      </c>
      <c r="D102" s="161">
        <v>36300</v>
      </c>
      <c r="E102" s="161">
        <v>237</v>
      </c>
      <c r="F102" s="161">
        <v>153</v>
      </c>
      <c r="G102" s="161" t="s">
        <v>3755</v>
      </c>
      <c r="H102" s="161" t="s">
        <v>186</v>
      </c>
      <c r="I102" s="161">
        <v>66</v>
      </c>
      <c r="J102" s="161" t="s">
        <v>389</v>
      </c>
      <c r="K102" s="21" t="s">
        <v>106</v>
      </c>
      <c r="L102" s="161" t="s">
        <v>3380</v>
      </c>
      <c r="M102" s="21" t="s">
        <v>2107</v>
      </c>
      <c r="N102" s="161" t="s">
        <v>67</v>
      </c>
      <c r="O102" s="21" t="s">
        <v>1553</v>
      </c>
      <c r="P102" s="161" t="s">
        <v>109</v>
      </c>
      <c r="Q102" s="21" t="s">
        <v>70</v>
      </c>
      <c r="R102" s="161">
        <v>70</v>
      </c>
      <c r="S102" s="161" t="s">
        <v>3568</v>
      </c>
      <c r="T102" s="161" t="s">
        <v>174</v>
      </c>
      <c r="U102" s="161" t="s">
        <v>73</v>
      </c>
      <c r="V102" s="21" t="s">
        <v>74</v>
      </c>
      <c r="W102" s="21" t="s">
        <v>75</v>
      </c>
      <c r="X102" s="161" t="s">
        <v>3660</v>
      </c>
      <c r="Y102" s="161">
        <v>5.9056704000000002E-2</v>
      </c>
      <c r="AA102" s="161" t="s">
        <v>77</v>
      </c>
      <c r="AB102" s="161" t="s">
        <v>114</v>
      </c>
      <c r="AC102" s="266" t="str">
        <f>HYPERLINK("https://gcsvt.ru/svetodiodnyie-svetilniki/SVT-Str-MPRO-79W-Ex-TRIO-100/","Ссылка")</f>
        <v>Ссылка</v>
      </c>
      <c r="AD102" s="167">
        <v>87210</v>
      </c>
    </row>
    <row r="103" spans="1:30" s="161" customFormat="1" ht="39.950000000000003" hidden="1" customHeight="1" outlineLevel="2" x14ac:dyDescent="0.25">
      <c r="A103" s="21"/>
      <c r="B103" s="21" t="s">
        <v>3482</v>
      </c>
      <c r="C103" s="159" t="s">
        <v>3573</v>
      </c>
      <c r="D103" s="161">
        <v>36300</v>
      </c>
      <c r="E103" s="161">
        <v>237</v>
      </c>
      <c r="F103" s="161">
        <v>153</v>
      </c>
      <c r="G103" s="161" t="s">
        <v>3756</v>
      </c>
      <c r="H103" s="161" t="s">
        <v>189</v>
      </c>
      <c r="I103" s="161">
        <v>66</v>
      </c>
      <c r="J103" s="161" t="s">
        <v>389</v>
      </c>
      <c r="K103" s="21" t="s">
        <v>106</v>
      </c>
      <c r="L103" s="161" t="s">
        <v>3380</v>
      </c>
      <c r="M103" s="21" t="s">
        <v>2107</v>
      </c>
      <c r="N103" s="161" t="s">
        <v>67</v>
      </c>
      <c r="O103" s="21" t="s">
        <v>1553</v>
      </c>
      <c r="P103" s="161" t="s">
        <v>109</v>
      </c>
      <c r="Q103" s="21" t="s">
        <v>70</v>
      </c>
      <c r="R103" s="161">
        <v>70</v>
      </c>
      <c r="S103" s="161" t="s">
        <v>3568</v>
      </c>
      <c r="T103" s="161" t="s">
        <v>174</v>
      </c>
      <c r="U103" s="161" t="s">
        <v>73</v>
      </c>
      <c r="V103" s="21" t="s">
        <v>74</v>
      </c>
      <c r="W103" s="21" t="s">
        <v>75</v>
      </c>
      <c r="X103" s="161" t="s">
        <v>3660</v>
      </c>
      <c r="Y103" s="161">
        <v>5.9056704000000002E-2</v>
      </c>
      <c r="AA103" s="161" t="s">
        <v>77</v>
      </c>
      <c r="AB103" s="161" t="s">
        <v>114</v>
      </c>
      <c r="AC103" s="266" t="str">
        <f>HYPERLINK("https://gcsvt.ru/svetodiodnyie-svetilniki/SVT-Str-MPRO-79W-Ex-TRIO-30x120/","Ссылка")</f>
        <v>Ссылка</v>
      </c>
      <c r="AD103" s="167">
        <v>87210</v>
      </c>
    </row>
    <row r="104" spans="1:30" s="161" customFormat="1" ht="39.950000000000003" hidden="1" customHeight="1" outlineLevel="2" x14ac:dyDescent="0.25">
      <c r="A104" s="21"/>
      <c r="B104" s="21" t="s">
        <v>3482</v>
      </c>
      <c r="C104" s="159" t="s">
        <v>3574</v>
      </c>
      <c r="D104" s="161">
        <v>36300</v>
      </c>
      <c r="E104" s="161">
        <v>237</v>
      </c>
      <c r="F104" s="161">
        <v>153</v>
      </c>
      <c r="G104" s="161" t="s">
        <v>3757</v>
      </c>
      <c r="H104" s="161" t="s">
        <v>192</v>
      </c>
      <c r="I104" s="161">
        <v>66</v>
      </c>
      <c r="J104" s="161" t="s">
        <v>389</v>
      </c>
      <c r="K104" s="21" t="s">
        <v>106</v>
      </c>
      <c r="L104" s="161" t="s">
        <v>3380</v>
      </c>
      <c r="M104" s="21" t="s">
        <v>2107</v>
      </c>
      <c r="N104" s="161" t="s">
        <v>67</v>
      </c>
      <c r="O104" s="21" t="s">
        <v>1553</v>
      </c>
      <c r="P104" s="161" t="s">
        <v>109</v>
      </c>
      <c r="Q104" s="21" t="s">
        <v>70</v>
      </c>
      <c r="R104" s="161">
        <v>70</v>
      </c>
      <c r="S104" s="161" t="s">
        <v>3568</v>
      </c>
      <c r="T104" s="161" t="s">
        <v>174</v>
      </c>
      <c r="U104" s="161" t="s">
        <v>73</v>
      </c>
      <c r="V104" s="21" t="s">
        <v>74</v>
      </c>
      <c r="W104" s="21" t="s">
        <v>75</v>
      </c>
      <c r="X104" s="161" t="s">
        <v>3660</v>
      </c>
      <c r="Y104" s="161">
        <v>5.9056704000000002E-2</v>
      </c>
      <c r="AA104" s="161" t="s">
        <v>77</v>
      </c>
      <c r="AB104" s="161" t="s">
        <v>114</v>
      </c>
      <c r="AC104" s="266" t="str">
        <f>HYPERLINK("https://gcsvt.ru/svetodiodnyie-svetilniki/SVT-Str-MPRO-79W-Ex-TRIO-150/","Ссылка")</f>
        <v>Ссылка</v>
      </c>
      <c r="AD104" s="167">
        <v>87210</v>
      </c>
    </row>
    <row r="105" spans="1:30" s="161" customFormat="1" ht="39.950000000000003" hidden="1" customHeight="1" outlineLevel="2" x14ac:dyDescent="0.25">
      <c r="A105" s="21"/>
      <c r="B105" s="21" t="s">
        <v>3482</v>
      </c>
      <c r="C105" s="159" t="s">
        <v>3575</v>
      </c>
      <c r="D105" s="161">
        <v>49620</v>
      </c>
      <c r="E105" s="161">
        <v>306</v>
      </c>
      <c r="F105" s="161">
        <v>162</v>
      </c>
      <c r="G105" s="161" t="s">
        <v>3758</v>
      </c>
      <c r="H105" s="161" t="s">
        <v>63</v>
      </c>
      <c r="I105" s="161">
        <v>66</v>
      </c>
      <c r="J105" s="161" t="s">
        <v>389</v>
      </c>
      <c r="K105" s="21" t="s">
        <v>106</v>
      </c>
      <c r="L105" s="161" t="s">
        <v>3380</v>
      </c>
      <c r="M105" s="21" t="s">
        <v>2107</v>
      </c>
      <c r="N105" s="161" t="s">
        <v>67</v>
      </c>
      <c r="O105" s="21" t="s">
        <v>1553</v>
      </c>
      <c r="P105" s="161" t="s">
        <v>109</v>
      </c>
      <c r="Q105" s="21" t="s">
        <v>70</v>
      </c>
      <c r="R105" s="161">
        <v>70</v>
      </c>
      <c r="S105" s="161" t="s">
        <v>3576</v>
      </c>
      <c r="T105" s="161" t="s">
        <v>174</v>
      </c>
      <c r="U105" s="161" t="s">
        <v>73</v>
      </c>
      <c r="V105" s="21" t="s">
        <v>74</v>
      </c>
      <c r="W105" s="21" t="s">
        <v>75</v>
      </c>
      <c r="X105" s="161" t="s">
        <v>3661</v>
      </c>
      <c r="Y105" s="161">
        <v>7.861190400000001E-2</v>
      </c>
      <c r="AA105" s="161" t="s">
        <v>77</v>
      </c>
      <c r="AB105" s="161" t="s">
        <v>114</v>
      </c>
      <c r="AC105" s="266" t="str">
        <f>HYPERLINK("https://gcsvt.ru/svetodiodnyie-svetilniki/SVT-Str-MPRO-102W-Ex-TRIO-45x140/","Ссылка")</f>
        <v>Ссылка</v>
      </c>
      <c r="AD105" s="167">
        <v>94095</v>
      </c>
    </row>
    <row r="106" spans="1:30" s="161" customFormat="1" ht="39.950000000000003" hidden="1" customHeight="1" outlineLevel="2" x14ac:dyDescent="0.25">
      <c r="A106" s="21"/>
      <c r="B106" s="21" t="s">
        <v>3482</v>
      </c>
      <c r="C106" s="159" t="s">
        <v>3577</v>
      </c>
      <c r="D106" s="161">
        <v>49620</v>
      </c>
      <c r="E106" s="161">
        <v>306</v>
      </c>
      <c r="F106" s="161">
        <v>162</v>
      </c>
      <c r="G106" s="161" t="s">
        <v>3759</v>
      </c>
      <c r="H106" s="161" t="s">
        <v>177</v>
      </c>
      <c r="I106" s="161">
        <v>66</v>
      </c>
      <c r="J106" s="161" t="s">
        <v>389</v>
      </c>
      <c r="K106" s="21" t="s">
        <v>106</v>
      </c>
      <c r="L106" s="161" t="s">
        <v>3380</v>
      </c>
      <c r="M106" s="21" t="s">
        <v>2107</v>
      </c>
      <c r="N106" s="161" t="s">
        <v>67</v>
      </c>
      <c r="O106" s="21" t="s">
        <v>1553</v>
      </c>
      <c r="P106" s="161" t="s">
        <v>109</v>
      </c>
      <c r="Q106" s="21" t="s">
        <v>70</v>
      </c>
      <c r="R106" s="161">
        <v>70</v>
      </c>
      <c r="S106" s="161" t="s">
        <v>3576</v>
      </c>
      <c r="T106" s="161" t="s">
        <v>174</v>
      </c>
      <c r="U106" s="161" t="s">
        <v>73</v>
      </c>
      <c r="V106" s="21" t="s">
        <v>74</v>
      </c>
      <c r="W106" s="21" t="s">
        <v>75</v>
      </c>
      <c r="X106" s="161" t="s">
        <v>3661</v>
      </c>
      <c r="Y106" s="161">
        <v>7.861190400000001E-2</v>
      </c>
      <c r="AA106" s="161" t="s">
        <v>77</v>
      </c>
      <c r="AB106" s="161" t="s">
        <v>114</v>
      </c>
      <c r="AC106" s="266" t="str">
        <f>HYPERLINK("https://gcsvt.ru/svetodiodnyie-svetilniki/SVT-Str-MPRO-102W-Ex-TRIO-20/","Ссылка")</f>
        <v>Ссылка</v>
      </c>
      <c r="AD106" s="167">
        <v>94095</v>
      </c>
    </row>
    <row r="107" spans="1:30" s="161" customFormat="1" ht="39.950000000000003" hidden="1" customHeight="1" outlineLevel="2" x14ac:dyDescent="0.25">
      <c r="A107" s="21"/>
      <c r="B107" s="21" t="s">
        <v>3482</v>
      </c>
      <c r="C107" s="159" t="s">
        <v>3578</v>
      </c>
      <c r="D107" s="161">
        <v>49620</v>
      </c>
      <c r="E107" s="161">
        <v>306</v>
      </c>
      <c r="F107" s="161">
        <v>162</v>
      </c>
      <c r="G107" s="161" t="s">
        <v>3760</v>
      </c>
      <c r="H107" s="161" t="s">
        <v>180</v>
      </c>
      <c r="I107" s="161">
        <v>66</v>
      </c>
      <c r="J107" s="161" t="s">
        <v>389</v>
      </c>
      <c r="K107" s="21" t="s">
        <v>106</v>
      </c>
      <c r="L107" s="161" t="s">
        <v>3380</v>
      </c>
      <c r="M107" s="21" t="s">
        <v>2107</v>
      </c>
      <c r="N107" s="161" t="s">
        <v>67</v>
      </c>
      <c r="O107" s="21" t="s">
        <v>1553</v>
      </c>
      <c r="P107" s="161" t="s">
        <v>109</v>
      </c>
      <c r="Q107" s="21" t="s">
        <v>70</v>
      </c>
      <c r="R107" s="161">
        <v>70</v>
      </c>
      <c r="S107" s="161" t="s">
        <v>3576</v>
      </c>
      <c r="T107" s="161" t="s">
        <v>174</v>
      </c>
      <c r="U107" s="161" t="s">
        <v>73</v>
      </c>
      <c r="V107" s="21" t="s">
        <v>74</v>
      </c>
      <c r="W107" s="21" t="s">
        <v>75</v>
      </c>
      <c r="X107" s="161" t="s">
        <v>3661</v>
      </c>
      <c r="Y107" s="161">
        <v>7.861190400000001E-2</v>
      </c>
      <c r="AA107" s="161" t="s">
        <v>77</v>
      </c>
      <c r="AB107" s="161" t="s">
        <v>114</v>
      </c>
      <c r="AC107" s="266" t="str">
        <f>HYPERLINK("https://gcsvt.ru/svetodiodnyie-svetilniki/SVT-Str-MPRO-102W-Ex-TRIO-35/","Ссылка")</f>
        <v>Ссылка</v>
      </c>
      <c r="AD107" s="167">
        <v>94095</v>
      </c>
    </row>
    <row r="108" spans="1:30" s="161" customFormat="1" ht="39.950000000000003" hidden="1" customHeight="1" outlineLevel="2" x14ac:dyDescent="0.25">
      <c r="A108" s="21"/>
      <c r="B108" s="21" t="s">
        <v>3482</v>
      </c>
      <c r="C108" s="159" t="s">
        <v>3579</v>
      </c>
      <c r="D108" s="161">
        <v>49620</v>
      </c>
      <c r="E108" s="161">
        <v>306</v>
      </c>
      <c r="F108" s="161">
        <v>162</v>
      </c>
      <c r="G108" s="161" t="s">
        <v>3761</v>
      </c>
      <c r="H108" s="161" t="s">
        <v>183</v>
      </c>
      <c r="I108" s="161">
        <v>66</v>
      </c>
      <c r="J108" s="161" t="s">
        <v>389</v>
      </c>
      <c r="K108" s="21" t="s">
        <v>106</v>
      </c>
      <c r="L108" s="161" t="s">
        <v>3380</v>
      </c>
      <c r="M108" s="21" t="s">
        <v>2107</v>
      </c>
      <c r="N108" s="161" t="s">
        <v>67</v>
      </c>
      <c r="O108" s="21" t="s">
        <v>1553</v>
      </c>
      <c r="P108" s="161" t="s">
        <v>109</v>
      </c>
      <c r="Q108" s="21" t="s">
        <v>70</v>
      </c>
      <c r="R108" s="161">
        <v>70</v>
      </c>
      <c r="S108" s="161" t="s">
        <v>3576</v>
      </c>
      <c r="T108" s="161" t="s">
        <v>174</v>
      </c>
      <c r="U108" s="161" t="s">
        <v>73</v>
      </c>
      <c r="V108" s="21" t="s">
        <v>74</v>
      </c>
      <c r="W108" s="21" t="s">
        <v>75</v>
      </c>
      <c r="X108" s="161" t="s">
        <v>3661</v>
      </c>
      <c r="Y108" s="161">
        <v>7.861190400000001E-2</v>
      </c>
      <c r="AA108" s="161" t="s">
        <v>77</v>
      </c>
      <c r="AB108" s="161" t="s">
        <v>114</v>
      </c>
      <c r="AC108" s="266" t="str">
        <f>HYPERLINK("https://gcsvt.ru/svetodiodnyie-svetilniki/SVT-Str-MPRO-102W-Ex-TRIO-65/","Ссылка")</f>
        <v>Ссылка</v>
      </c>
      <c r="AD108" s="167">
        <v>94095</v>
      </c>
    </row>
    <row r="109" spans="1:30" s="161" customFormat="1" ht="39.950000000000003" hidden="1" customHeight="1" outlineLevel="2" x14ac:dyDescent="0.25">
      <c r="A109" s="21"/>
      <c r="B109" s="21" t="s">
        <v>3482</v>
      </c>
      <c r="C109" s="159" t="s">
        <v>3580</v>
      </c>
      <c r="D109" s="161">
        <v>49620</v>
      </c>
      <c r="E109" s="161">
        <v>306</v>
      </c>
      <c r="F109" s="161">
        <v>162</v>
      </c>
      <c r="G109" s="161" t="s">
        <v>3762</v>
      </c>
      <c r="H109" s="161" t="s">
        <v>186</v>
      </c>
      <c r="I109" s="161">
        <v>66</v>
      </c>
      <c r="J109" s="161" t="s">
        <v>389</v>
      </c>
      <c r="K109" s="21" t="s">
        <v>106</v>
      </c>
      <c r="L109" s="161" t="s">
        <v>3380</v>
      </c>
      <c r="M109" s="21" t="s">
        <v>2107</v>
      </c>
      <c r="N109" s="161" t="s">
        <v>67</v>
      </c>
      <c r="O109" s="21" t="s">
        <v>1553</v>
      </c>
      <c r="P109" s="161" t="s">
        <v>109</v>
      </c>
      <c r="Q109" s="21" t="s">
        <v>70</v>
      </c>
      <c r="R109" s="161">
        <v>70</v>
      </c>
      <c r="S109" s="161" t="s">
        <v>3576</v>
      </c>
      <c r="T109" s="161" t="s">
        <v>174</v>
      </c>
      <c r="U109" s="161" t="s">
        <v>73</v>
      </c>
      <c r="V109" s="21" t="s">
        <v>74</v>
      </c>
      <c r="W109" s="21" t="s">
        <v>75</v>
      </c>
      <c r="X109" s="161" t="s">
        <v>3661</v>
      </c>
      <c r="Y109" s="161">
        <v>7.861190400000001E-2</v>
      </c>
      <c r="AA109" s="161" t="s">
        <v>77</v>
      </c>
      <c r="AB109" s="161" t="s">
        <v>114</v>
      </c>
      <c r="AC109" s="266" t="str">
        <f>HYPERLINK("https://gcsvt.ru/svetodiodnyie-svetilniki/SVT-Str-MPRO-102W-Ex-TRIO-100/","Ссылка")</f>
        <v>Ссылка</v>
      </c>
      <c r="AD109" s="167">
        <v>94095</v>
      </c>
    </row>
    <row r="110" spans="1:30" s="161" customFormat="1" ht="39.950000000000003" hidden="1" customHeight="1" outlineLevel="2" x14ac:dyDescent="0.25">
      <c r="A110" s="21"/>
      <c r="B110" s="21" t="s">
        <v>3482</v>
      </c>
      <c r="C110" s="159" t="s">
        <v>3581</v>
      </c>
      <c r="D110" s="161">
        <v>49620</v>
      </c>
      <c r="E110" s="161">
        <v>306</v>
      </c>
      <c r="F110" s="161">
        <v>162</v>
      </c>
      <c r="G110" s="161" t="s">
        <v>3763</v>
      </c>
      <c r="H110" s="161" t="s">
        <v>189</v>
      </c>
      <c r="I110" s="161">
        <v>66</v>
      </c>
      <c r="J110" s="161" t="s">
        <v>389</v>
      </c>
      <c r="K110" s="21" t="s">
        <v>106</v>
      </c>
      <c r="L110" s="161" t="s">
        <v>3380</v>
      </c>
      <c r="M110" s="21" t="s">
        <v>2107</v>
      </c>
      <c r="N110" s="161" t="s">
        <v>67</v>
      </c>
      <c r="O110" s="21" t="s">
        <v>1553</v>
      </c>
      <c r="P110" s="161" t="s">
        <v>109</v>
      </c>
      <c r="Q110" s="21" t="s">
        <v>70</v>
      </c>
      <c r="R110" s="161">
        <v>70</v>
      </c>
      <c r="S110" s="161" t="s">
        <v>3576</v>
      </c>
      <c r="T110" s="161" t="s">
        <v>174</v>
      </c>
      <c r="U110" s="161" t="s">
        <v>73</v>
      </c>
      <c r="V110" s="21" t="s">
        <v>74</v>
      </c>
      <c r="W110" s="21" t="s">
        <v>75</v>
      </c>
      <c r="X110" s="161" t="s">
        <v>3661</v>
      </c>
      <c r="Y110" s="161">
        <v>7.861190400000001E-2</v>
      </c>
      <c r="AA110" s="161" t="s">
        <v>77</v>
      </c>
      <c r="AB110" s="161" t="s">
        <v>114</v>
      </c>
      <c r="AC110" s="266" t="str">
        <f>HYPERLINK("https://gcsvt.ru/svetodiodnyie-svetilniki/SVT-Str-MPRO-102W-Ex-TRIO-30x120/","Ссылка")</f>
        <v>Ссылка</v>
      </c>
      <c r="AD110" s="167">
        <v>94095</v>
      </c>
    </row>
    <row r="111" spans="1:30" s="161" customFormat="1" ht="39.950000000000003" hidden="1" customHeight="1" outlineLevel="2" x14ac:dyDescent="0.25">
      <c r="A111" s="21"/>
      <c r="B111" s="21" t="s">
        <v>3482</v>
      </c>
      <c r="C111" s="159" t="s">
        <v>3582</v>
      </c>
      <c r="D111" s="161">
        <v>49620</v>
      </c>
      <c r="E111" s="161">
        <v>306</v>
      </c>
      <c r="F111" s="161">
        <v>162</v>
      </c>
      <c r="G111" s="161" t="s">
        <v>3764</v>
      </c>
      <c r="H111" s="161" t="s">
        <v>192</v>
      </c>
      <c r="I111" s="161">
        <v>66</v>
      </c>
      <c r="J111" s="161" t="s">
        <v>389</v>
      </c>
      <c r="K111" s="21" t="s">
        <v>106</v>
      </c>
      <c r="L111" s="161" t="s">
        <v>3380</v>
      </c>
      <c r="M111" s="21" t="s">
        <v>2107</v>
      </c>
      <c r="N111" s="161" t="s">
        <v>67</v>
      </c>
      <c r="O111" s="21" t="s">
        <v>1553</v>
      </c>
      <c r="P111" s="161" t="s">
        <v>109</v>
      </c>
      <c r="Q111" s="21" t="s">
        <v>70</v>
      </c>
      <c r="R111" s="161">
        <v>70</v>
      </c>
      <c r="S111" s="161" t="s">
        <v>3576</v>
      </c>
      <c r="T111" s="161" t="s">
        <v>174</v>
      </c>
      <c r="U111" s="161" t="s">
        <v>73</v>
      </c>
      <c r="V111" s="21" t="s">
        <v>74</v>
      </c>
      <c r="W111" s="21" t="s">
        <v>75</v>
      </c>
      <c r="X111" s="161" t="s">
        <v>3661</v>
      </c>
      <c r="Y111" s="161">
        <v>7.861190400000001E-2</v>
      </c>
      <c r="AA111" s="161" t="s">
        <v>77</v>
      </c>
      <c r="AB111" s="161" t="s">
        <v>114</v>
      </c>
      <c r="AC111" s="266" t="str">
        <f>HYPERLINK("https://gcsvt.ru/svetodiodnyie-svetilniki/SVT-Str-MPRO-102W-Ex-TRIO-150/","Ссылка")</f>
        <v>Ссылка</v>
      </c>
      <c r="AD111" s="167">
        <v>94095</v>
      </c>
    </row>
    <row r="112" spans="1:30" s="161" customFormat="1" ht="39.950000000000003" hidden="1" customHeight="1" outlineLevel="2" x14ac:dyDescent="0.25">
      <c r="A112" s="21"/>
      <c r="B112" s="21" t="s">
        <v>3482</v>
      </c>
      <c r="C112" s="159" t="s">
        <v>3583</v>
      </c>
      <c r="D112" s="161">
        <v>32720</v>
      </c>
      <c r="E112" s="161">
        <v>212</v>
      </c>
      <c r="F112" s="161">
        <v>154</v>
      </c>
      <c r="G112" s="161" t="s">
        <v>3765</v>
      </c>
      <c r="H112" s="161" t="s">
        <v>63</v>
      </c>
      <c r="I112" s="161">
        <v>66</v>
      </c>
      <c r="J112" s="161" t="s">
        <v>389</v>
      </c>
      <c r="K112" s="21" t="s">
        <v>106</v>
      </c>
      <c r="L112" s="161" t="s">
        <v>3380</v>
      </c>
      <c r="M112" s="21" t="s">
        <v>2107</v>
      </c>
      <c r="N112" s="161" t="s">
        <v>67</v>
      </c>
      <c r="O112" s="21" t="s">
        <v>1553</v>
      </c>
      <c r="P112" s="161" t="s">
        <v>109</v>
      </c>
      <c r="Q112" s="21" t="s">
        <v>70</v>
      </c>
      <c r="R112" s="161">
        <v>70</v>
      </c>
      <c r="S112" s="161" t="s">
        <v>3584</v>
      </c>
      <c r="T112" s="161" t="s">
        <v>174</v>
      </c>
      <c r="U112" s="161" t="s">
        <v>73</v>
      </c>
      <c r="V112" s="21" t="s">
        <v>74</v>
      </c>
      <c r="W112" s="21" t="s">
        <v>75</v>
      </c>
      <c r="X112" s="161" t="s">
        <v>3662</v>
      </c>
      <c r="Y112" s="161">
        <v>5.2709819400000003E-2</v>
      </c>
      <c r="AA112" s="161" t="s">
        <v>77</v>
      </c>
      <c r="AB112" s="161" t="s">
        <v>114</v>
      </c>
      <c r="AC112" s="266" t="str">
        <f>HYPERLINK("https://gcsvt.ru/svetodiodnyie-svetilniki/SVT-Str-MPRO-53W-Ex-QUATTRO-45x140/","Ссылка")</f>
        <v>Ссылка</v>
      </c>
      <c r="AD112" s="167">
        <v>92948</v>
      </c>
    </row>
    <row r="113" spans="1:30" s="161" customFormat="1" ht="39.950000000000003" hidden="1" customHeight="1" outlineLevel="2" x14ac:dyDescent="0.25">
      <c r="A113" s="21"/>
      <c r="B113" s="21" t="s">
        <v>3482</v>
      </c>
      <c r="C113" s="159" t="s">
        <v>3585</v>
      </c>
      <c r="D113" s="161">
        <v>32720</v>
      </c>
      <c r="E113" s="161">
        <v>212</v>
      </c>
      <c r="F113" s="161">
        <v>154</v>
      </c>
      <c r="G113" s="161" t="s">
        <v>3766</v>
      </c>
      <c r="H113" s="161" t="s">
        <v>177</v>
      </c>
      <c r="I113" s="161">
        <v>66</v>
      </c>
      <c r="J113" s="161" t="s">
        <v>389</v>
      </c>
      <c r="K113" s="21" t="s">
        <v>106</v>
      </c>
      <c r="L113" s="161" t="s">
        <v>3380</v>
      </c>
      <c r="M113" s="21" t="s">
        <v>2107</v>
      </c>
      <c r="N113" s="161" t="s">
        <v>67</v>
      </c>
      <c r="O113" s="21" t="s">
        <v>1553</v>
      </c>
      <c r="P113" s="161" t="s">
        <v>109</v>
      </c>
      <c r="Q113" s="21" t="s">
        <v>70</v>
      </c>
      <c r="R113" s="161">
        <v>70</v>
      </c>
      <c r="S113" s="161" t="s">
        <v>3584</v>
      </c>
      <c r="T113" s="161" t="s">
        <v>174</v>
      </c>
      <c r="U113" s="161" t="s">
        <v>73</v>
      </c>
      <c r="V113" s="21" t="s">
        <v>74</v>
      </c>
      <c r="W113" s="21" t="s">
        <v>75</v>
      </c>
      <c r="X113" s="161" t="s">
        <v>3662</v>
      </c>
      <c r="Y113" s="161">
        <v>5.2709819400000003E-2</v>
      </c>
      <c r="AA113" s="161" t="s">
        <v>77</v>
      </c>
      <c r="AB113" s="161" t="s">
        <v>114</v>
      </c>
      <c r="AC113" s="266" t="str">
        <f>HYPERLINK("https://gcsvt.ru/svetodiodnyie-svetilniki/SVT-Str-MPRO-53W-Ex-QUATTRO-20/","Ссылка")</f>
        <v>Ссылка</v>
      </c>
      <c r="AD113" s="167">
        <v>92948</v>
      </c>
    </row>
    <row r="114" spans="1:30" s="161" customFormat="1" ht="39.950000000000003" hidden="1" customHeight="1" outlineLevel="2" x14ac:dyDescent="0.25">
      <c r="A114" s="21"/>
      <c r="B114" s="21" t="s">
        <v>3482</v>
      </c>
      <c r="C114" s="159" t="s">
        <v>3586</v>
      </c>
      <c r="D114" s="161">
        <v>32720</v>
      </c>
      <c r="E114" s="161">
        <v>212</v>
      </c>
      <c r="F114" s="161">
        <v>154</v>
      </c>
      <c r="G114" s="161" t="s">
        <v>3767</v>
      </c>
      <c r="H114" s="161" t="s">
        <v>180</v>
      </c>
      <c r="I114" s="161">
        <v>66</v>
      </c>
      <c r="J114" s="161" t="s">
        <v>389</v>
      </c>
      <c r="K114" s="21" t="s">
        <v>106</v>
      </c>
      <c r="L114" s="161" t="s">
        <v>3380</v>
      </c>
      <c r="M114" s="21" t="s">
        <v>2107</v>
      </c>
      <c r="N114" s="161" t="s">
        <v>67</v>
      </c>
      <c r="O114" s="21" t="s">
        <v>1553</v>
      </c>
      <c r="P114" s="161" t="s">
        <v>109</v>
      </c>
      <c r="Q114" s="21" t="s">
        <v>70</v>
      </c>
      <c r="R114" s="161">
        <v>70</v>
      </c>
      <c r="S114" s="161" t="s">
        <v>3584</v>
      </c>
      <c r="T114" s="161" t="s">
        <v>174</v>
      </c>
      <c r="U114" s="161" t="s">
        <v>73</v>
      </c>
      <c r="V114" s="21" t="s">
        <v>74</v>
      </c>
      <c r="W114" s="21" t="s">
        <v>75</v>
      </c>
      <c r="X114" s="161" t="s">
        <v>3662</v>
      </c>
      <c r="Y114" s="161">
        <v>5.2709819400000003E-2</v>
      </c>
      <c r="AA114" s="161" t="s">
        <v>77</v>
      </c>
      <c r="AB114" s="161" t="s">
        <v>114</v>
      </c>
      <c r="AC114" s="266" t="str">
        <f>HYPERLINK("https://gcsvt.ru/svetodiodnyie-svetilniki/SVT-Str-MPRO-53W-Ex-QUATTRO-35/","Ссылка")</f>
        <v>Ссылка</v>
      </c>
      <c r="AD114" s="167">
        <v>92948</v>
      </c>
    </row>
    <row r="115" spans="1:30" s="161" customFormat="1" ht="39.950000000000003" hidden="1" customHeight="1" outlineLevel="2" x14ac:dyDescent="0.25">
      <c r="A115" s="21"/>
      <c r="B115" s="21" t="s">
        <v>3482</v>
      </c>
      <c r="C115" s="159" t="s">
        <v>3587</v>
      </c>
      <c r="D115" s="161">
        <v>32720</v>
      </c>
      <c r="E115" s="161">
        <v>212</v>
      </c>
      <c r="F115" s="161">
        <v>154</v>
      </c>
      <c r="G115" s="161" t="s">
        <v>3768</v>
      </c>
      <c r="H115" s="161" t="s">
        <v>183</v>
      </c>
      <c r="I115" s="161">
        <v>66</v>
      </c>
      <c r="J115" s="161" t="s">
        <v>389</v>
      </c>
      <c r="K115" s="21" t="s">
        <v>106</v>
      </c>
      <c r="L115" s="161" t="s">
        <v>3380</v>
      </c>
      <c r="M115" s="21" t="s">
        <v>2107</v>
      </c>
      <c r="N115" s="161" t="s">
        <v>67</v>
      </c>
      <c r="O115" s="21" t="s">
        <v>1553</v>
      </c>
      <c r="P115" s="161" t="s">
        <v>109</v>
      </c>
      <c r="Q115" s="21" t="s">
        <v>70</v>
      </c>
      <c r="R115" s="161">
        <v>70</v>
      </c>
      <c r="S115" s="161" t="s">
        <v>3584</v>
      </c>
      <c r="T115" s="161" t="s">
        <v>174</v>
      </c>
      <c r="U115" s="161" t="s">
        <v>73</v>
      </c>
      <c r="V115" s="21" t="s">
        <v>74</v>
      </c>
      <c r="W115" s="21" t="s">
        <v>75</v>
      </c>
      <c r="X115" s="161" t="s">
        <v>3662</v>
      </c>
      <c r="Y115" s="161">
        <v>5.2709819400000003E-2</v>
      </c>
      <c r="AA115" s="161" t="s">
        <v>77</v>
      </c>
      <c r="AB115" s="161" t="s">
        <v>114</v>
      </c>
      <c r="AC115" s="266" t="str">
        <f>HYPERLINK("https://gcsvt.ru/svetodiodnyie-svetilniki/SVT-Str-MPRO-53W-Ex-QUATTRO-65/","Ссылка")</f>
        <v>Ссылка</v>
      </c>
      <c r="AD115" s="167">
        <v>92948</v>
      </c>
    </row>
    <row r="116" spans="1:30" s="161" customFormat="1" ht="39.950000000000003" hidden="1" customHeight="1" outlineLevel="2" x14ac:dyDescent="0.25">
      <c r="A116" s="21"/>
      <c r="B116" s="21" t="s">
        <v>3482</v>
      </c>
      <c r="C116" s="159" t="s">
        <v>3588</v>
      </c>
      <c r="D116" s="161">
        <v>32720</v>
      </c>
      <c r="E116" s="161">
        <v>212</v>
      </c>
      <c r="F116" s="161">
        <v>154</v>
      </c>
      <c r="G116" s="161" t="s">
        <v>3769</v>
      </c>
      <c r="H116" s="161" t="s">
        <v>186</v>
      </c>
      <c r="I116" s="161">
        <v>66</v>
      </c>
      <c r="J116" s="161" t="s">
        <v>389</v>
      </c>
      <c r="K116" s="21" t="s">
        <v>106</v>
      </c>
      <c r="L116" s="161" t="s">
        <v>3380</v>
      </c>
      <c r="M116" s="21" t="s">
        <v>2107</v>
      </c>
      <c r="N116" s="161" t="s">
        <v>67</v>
      </c>
      <c r="O116" s="21" t="s">
        <v>1553</v>
      </c>
      <c r="P116" s="161" t="s">
        <v>109</v>
      </c>
      <c r="Q116" s="21" t="s">
        <v>70</v>
      </c>
      <c r="R116" s="161">
        <v>70</v>
      </c>
      <c r="S116" s="161" t="s">
        <v>3584</v>
      </c>
      <c r="T116" s="161" t="s">
        <v>174</v>
      </c>
      <c r="U116" s="161" t="s">
        <v>73</v>
      </c>
      <c r="V116" s="21" t="s">
        <v>74</v>
      </c>
      <c r="W116" s="21" t="s">
        <v>75</v>
      </c>
      <c r="X116" s="161" t="s">
        <v>3662</v>
      </c>
      <c r="Y116" s="161">
        <v>5.2709819400000003E-2</v>
      </c>
      <c r="AA116" s="161" t="s">
        <v>77</v>
      </c>
      <c r="AB116" s="161" t="s">
        <v>114</v>
      </c>
      <c r="AC116" s="266" t="str">
        <f>HYPERLINK("https://gcsvt.ru/svetodiodnyie-svetilniki/SVT-Str-MPRO-53W-Ex-QUATTRO-100/","Ссылка")</f>
        <v>Ссылка</v>
      </c>
      <c r="AD116" s="167">
        <v>92948</v>
      </c>
    </row>
    <row r="117" spans="1:30" s="161" customFormat="1" ht="39.950000000000003" hidden="1" customHeight="1" outlineLevel="2" x14ac:dyDescent="0.25">
      <c r="A117" s="21"/>
      <c r="B117" s="21" t="s">
        <v>3482</v>
      </c>
      <c r="C117" s="159" t="s">
        <v>3589</v>
      </c>
      <c r="D117" s="161">
        <v>32720</v>
      </c>
      <c r="E117" s="161">
        <v>212</v>
      </c>
      <c r="F117" s="161">
        <v>154</v>
      </c>
      <c r="G117" s="161" t="s">
        <v>3770</v>
      </c>
      <c r="H117" s="161" t="s">
        <v>189</v>
      </c>
      <c r="I117" s="161">
        <v>66</v>
      </c>
      <c r="J117" s="161" t="s">
        <v>389</v>
      </c>
      <c r="K117" s="21" t="s">
        <v>106</v>
      </c>
      <c r="L117" s="161" t="s">
        <v>3380</v>
      </c>
      <c r="M117" s="21" t="s">
        <v>2107</v>
      </c>
      <c r="N117" s="161" t="s">
        <v>67</v>
      </c>
      <c r="O117" s="21" t="s">
        <v>1553</v>
      </c>
      <c r="P117" s="161" t="s">
        <v>109</v>
      </c>
      <c r="Q117" s="21" t="s">
        <v>70</v>
      </c>
      <c r="R117" s="161">
        <v>70</v>
      </c>
      <c r="S117" s="161" t="s">
        <v>3584</v>
      </c>
      <c r="T117" s="161" t="s">
        <v>174</v>
      </c>
      <c r="U117" s="161" t="s">
        <v>73</v>
      </c>
      <c r="V117" s="21" t="s">
        <v>74</v>
      </c>
      <c r="W117" s="21" t="s">
        <v>75</v>
      </c>
      <c r="X117" s="161" t="s">
        <v>3662</v>
      </c>
      <c r="Y117" s="161">
        <v>5.2709819400000003E-2</v>
      </c>
      <c r="AA117" s="161" t="s">
        <v>77</v>
      </c>
      <c r="AB117" s="161" t="s">
        <v>114</v>
      </c>
      <c r="AC117" s="266" t="str">
        <f>HYPERLINK("https://gcsvt.ru/svetodiodnyie-svetilniki/SVT-Str-MPRO-53W-Ex-QUATTRO-30x120/","Ссылка")</f>
        <v>Ссылка</v>
      </c>
      <c r="AD117" s="167">
        <v>92948</v>
      </c>
    </row>
    <row r="118" spans="1:30" s="161" customFormat="1" ht="39.950000000000003" hidden="1" customHeight="1" outlineLevel="2" x14ac:dyDescent="0.25">
      <c r="A118" s="21"/>
      <c r="B118" s="21" t="s">
        <v>3482</v>
      </c>
      <c r="C118" s="159" t="s">
        <v>3590</v>
      </c>
      <c r="D118" s="161">
        <v>32720</v>
      </c>
      <c r="E118" s="161">
        <v>212</v>
      </c>
      <c r="F118" s="161">
        <v>154</v>
      </c>
      <c r="G118" s="161" t="s">
        <v>3771</v>
      </c>
      <c r="H118" s="161" t="s">
        <v>192</v>
      </c>
      <c r="I118" s="161">
        <v>66</v>
      </c>
      <c r="J118" s="161" t="s">
        <v>389</v>
      </c>
      <c r="K118" s="21" t="s">
        <v>106</v>
      </c>
      <c r="L118" s="161" t="s">
        <v>3380</v>
      </c>
      <c r="M118" s="21" t="s">
        <v>2107</v>
      </c>
      <c r="N118" s="161" t="s">
        <v>67</v>
      </c>
      <c r="O118" s="21" t="s">
        <v>1553</v>
      </c>
      <c r="P118" s="161" t="s">
        <v>109</v>
      </c>
      <c r="Q118" s="21" t="s">
        <v>70</v>
      </c>
      <c r="R118" s="161">
        <v>70</v>
      </c>
      <c r="S118" s="161" t="s">
        <v>3584</v>
      </c>
      <c r="T118" s="161" t="s">
        <v>174</v>
      </c>
      <c r="U118" s="161" t="s">
        <v>73</v>
      </c>
      <c r="V118" s="21" t="s">
        <v>74</v>
      </c>
      <c r="W118" s="21" t="s">
        <v>75</v>
      </c>
      <c r="X118" s="161" t="s">
        <v>3662</v>
      </c>
      <c r="Y118" s="161">
        <v>5.2709819400000003E-2</v>
      </c>
      <c r="AA118" s="161" t="s">
        <v>77</v>
      </c>
      <c r="AB118" s="161" t="s">
        <v>114</v>
      </c>
      <c r="AC118" s="266" t="str">
        <f>HYPERLINK("https://gcsvt.ru/svetodiodnyie-svetilniki/SVT-Str-MPRO-53W-Ex-QUATTRO-150/","Ссылка")</f>
        <v>Ссылка</v>
      </c>
      <c r="AD118" s="167">
        <v>92948</v>
      </c>
    </row>
    <row r="119" spans="1:30" s="161" customFormat="1" ht="39.950000000000003" hidden="1" customHeight="1" outlineLevel="2" x14ac:dyDescent="0.25">
      <c r="A119" s="21"/>
      <c r="B119" s="21" t="s">
        <v>3482</v>
      </c>
      <c r="C119" s="159" t="s">
        <v>3591</v>
      </c>
      <c r="D119" s="161">
        <v>48400</v>
      </c>
      <c r="E119" s="161">
        <v>316</v>
      </c>
      <c r="F119" s="161">
        <v>153</v>
      </c>
      <c r="G119" s="161" t="s">
        <v>3772</v>
      </c>
      <c r="H119" s="161" t="s">
        <v>63</v>
      </c>
      <c r="I119" s="161">
        <v>66</v>
      </c>
      <c r="J119" s="161" t="s">
        <v>389</v>
      </c>
      <c r="K119" s="21" t="s">
        <v>106</v>
      </c>
      <c r="L119" s="161" t="s">
        <v>3380</v>
      </c>
      <c r="M119" s="21" t="s">
        <v>2107</v>
      </c>
      <c r="N119" s="161" t="s">
        <v>67</v>
      </c>
      <c r="O119" s="21" t="s">
        <v>1553</v>
      </c>
      <c r="P119" s="161" t="s">
        <v>109</v>
      </c>
      <c r="Q119" s="21" t="s">
        <v>70</v>
      </c>
      <c r="R119" s="161">
        <v>70</v>
      </c>
      <c r="S119" s="161" t="s">
        <v>3592</v>
      </c>
      <c r="T119" s="161" t="s">
        <v>174</v>
      </c>
      <c r="U119" s="161" t="s">
        <v>73</v>
      </c>
      <c r="V119" s="21" t="s">
        <v>74</v>
      </c>
      <c r="W119" s="21" t="s">
        <v>75</v>
      </c>
      <c r="X119" s="161" t="s">
        <v>3663</v>
      </c>
      <c r="Y119" s="161">
        <v>7.8803789400000004E-2</v>
      </c>
      <c r="AA119" s="161" t="s">
        <v>77</v>
      </c>
      <c r="AB119" s="161" t="s">
        <v>114</v>
      </c>
      <c r="AC119" s="266" t="str">
        <f>HYPERLINK("https://gcsvt.ru/svetodiodnyie-svetilniki/SVT-Str-MPRO-79W-Ex-QUATTRO-45x140/","Ссылка")</f>
        <v>Ссылка</v>
      </c>
      <c r="AD119" s="167">
        <v>128520</v>
      </c>
    </row>
    <row r="120" spans="1:30" s="161" customFormat="1" ht="39.950000000000003" hidden="1" customHeight="1" outlineLevel="2" x14ac:dyDescent="0.25">
      <c r="A120" s="21"/>
      <c r="B120" s="21" t="s">
        <v>3482</v>
      </c>
      <c r="C120" s="159" t="s">
        <v>3593</v>
      </c>
      <c r="D120" s="161">
        <v>48400</v>
      </c>
      <c r="E120" s="161">
        <v>316</v>
      </c>
      <c r="F120" s="161">
        <v>153</v>
      </c>
      <c r="G120" s="161" t="s">
        <v>3773</v>
      </c>
      <c r="H120" s="161" t="s">
        <v>177</v>
      </c>
      <c r="I120" s="161">
        <v>66</v>
      </c>
      <c r="J120" s="161" t="s">
        <v>389</v>
      </c>
      <c r="K120" s="21" t="s">
        <v>106</v>
      </c>
      <c r="L120" s="161" t="s">
        <v>3380</v>
      </c>
      <c r="M120" s="21" t="s">
        <v>2107</v>
      </c>
      <c r="N120" s="161" t="s">
        <v>67</v>
      </c>
      <c r="O120" s="21" t="s">
        <v>1553</v>
      </c>
      <c r="P120" s="161" t="s">
        <v>109</v>
      </c>
      <c r="Q120" s="21" t="s">
        <v>70</v>
      </c>
      <c r="R120" s="161">
        <v>70</v>
      </c>
      <c r="S120" s="161" t="s">
        <v>3592</v>
      </c>
      <c r="T120" s="161" t="s">
        <v>174</v>
      </c>
      <c r="U120" s="161" t="s">
        <v>73</v>
      </c>
      <c r="V120" s="21" t="s">
        <v>74</v>
      </c>
      <c r="W120" s="21" t="s">
        <v>75</v>
      </c>
      <c r="X120" s="161" t="s">
        <v>3663</v>
      </c>
      <c r="Y120" s="161">
        <v>7.8803789400000004E-2</v>
      </c>
      <c r="AA120" s="161" t="s">
        <v>77</v>
      </c>
      <c r="AB120" s="161" t="s">
        <v>114</v>
      </c>
      <c r="AC120" s="266" t="str">
        <f>HYPERLINK("https://gcsvt.ru/svetodiodnyie-svetilniki/SVT-Str-MPRO-79W-Ex-QUATTRO-20/","Ссылка")</f>
        <v>Ссылка</v>
      </c>
      <c r="AD120" s="167">
        <v>128520</v>
      </c>
    </row>
    <row r="121" spans="1:30" s="161" customFormat="1" ht="39.950000000000003" hidden="1" customHeight="1" outlineLevel="2" x14ac:dyDescent="0.25">
      <c r="A121" s="21"/>
      <c r="B121" s="21" t="s">
        <v>3482</v>
      </c>
      <c r="C121" s="159" t="s">
        <v>3594</v>
      </c>
      <c r="D121" s="161">
        <v>48400</v>
      </c>
      <c r="E121" s="161">
        <v>316</v>
      </c>
      <c r="F121" s="161">
        <v>153</v>
      </c>
      <c r="G121" s="161" t="s">
        <v>3774</v>
      </c>
      <c r="H121" s="161" t="s">
        <v>180</v>
      </c>
      <c r="I121" s="161">
        <v>66</v>
      </c>
      <c r="J121" s="161" t="s">
        <v>389</v>
      </c>
      <c r="K121" s="21" t="s">
        <v>106</v>
      </c>
      <c r="L121" s="161" t="s">
        <v>3380</v>
      </c>
      <c r="M121" s="21" t="s">
        <v>2107</v>
      </c>
      <c r="N121" s="161" t="s">
        <v>67</v>
      </c>
      <c r="O121" s="21" t="s">
        <v>1553</v>
      </c>
      <c r="P121" s="161" t="s">
        <v>109</v>
      </c>
      <c r="Q121" s="21" t="s">
        <v>70</v>
      </c>
      <c r="R121" s="161">
        <v>70</v>
      </c>
      <c r="S121" s="161" t="s">
        <v>3592</v>
      </c>
      <c r="T121" s="161" t="s">
        <v>174</v>
      </c>
      <c r="U121" s="161" t="s">
        <v>73</v>
      </c>
      <c r="V121" s="21" t="s">
        <v>74</v>
      </c>
      <c r="W121" s="21" t="s">
        <v>75</v>
      </c>
      <c r="X121" s="161" t="s">
        <v>3663</v>
      </c>
      <c r="Y121" s="161">
        <v>7.8803789400000004E-2</v>
      </c>
      <c r="AA121" s="161" t="s">
        <v>77</v>
      </c>
      <c r="AB121" s="161" t="s">
        <v>114</v>
      </c>
      <c r="AC121" s="266" t="str">
        <f>HYPERLINK("https://gcsvt.ru/svetodiodnyie-svetilniki/SVT-Str-MPRO-79W-Ex-QUATTRO-35/","Ссылка")</f>
        <v>Ссылка</v>
      </c>
      <c r="AD121" s="167">
        <v>128520</v>
      </c>
    </row>
    <row r="122" spans="1:30" s="161" customFormat="1" ht="39.950000000000003" hidden="1" customHeight="1" outlineLevel="2" x14ac:dyDescent="0.25">
      <c r="A122" s="21"/>
      <c r="B122" s="21" t="s">
        <v>3482</v>
      </c>
      <c r="C122" s="159" t="s">
        <v>3595</v>
      </c>
      <c r="D122" s="161">
        <v>48400</v>
      </c>
      <c r="E122" s="161">
        <v>316</v>
      </c>
      <c r="F122" s="161">
        <v>153</v>
      </c>
      <c r="G122" s="161" t="s">
        <v>3775</v>
      </c>
      <c r="H122" s="161" t="s">
        <v>183</v>
      </c>
      <c r="I122" s="161">
        <v>66</v>
      </c>
      <c r="J122" s="161" t="s">
        <v>389</v>
      </c>
      <c r="K122" s="21" t="s">
        <v>106</v>
      </c>
      <c r="L122" s="161" t="s">
        <v>3380</v>
      </c>
      <c r="M122" s="21" t="s">
        <v>2107</v>
      </c>
      <c r="N122" s="161" t="s">
        <v>67</v>
      </c>
      <c r="O122" s="21" t="s">
        <v>1553</v>
      </c>
      <c r="P122" s="161" t="s">
        <v>109</v>
      </c>
      <c r="Q122" s="21" t="s">
        <v>70</v>
      </c>
      <c r="R122" s="161">
        <v>70</v>
      </c>
      <c r="S122" s="161" t="s">
        <v>3592</v>
      </c>
      <c r="T122" s="161" t="s">
        <v>174</v>
      </c>
      <c r="U122" s="161" t="s">
        <v>73</v>
      </c>
      <c r="V122" s="21" t="s">
        <v>74</v>
      </c>
      <c r="W122" s="21" t="s">
        <v>75</v>
      </c>
      <c r="X122" s="161" t="s">
        <v>3663</v>
      </c>
      <c r="Y122" s="161">
        <v>7.8803789400000004E-2</v>
      </c>
      <c r="AA122" s="161" t="s">
        <v>77</v>
      </c>
      <c r="AB122" s="161" t="s">
        <v>114</v>
      </c>
      <c r="AC122" s="266" t="str">
        <f>HYPERLINK("https://gcsvt.ru/svetodiodnyie-svetilniki/SVT-Str-MPRO-79W-Ex-QUATTRO-65/","Ссылка")</f>
        <v>Ссылка</v>
      </c>
      <c r="AD122" s="167">
        <v>128520</v>
      </c>
    </row>
    <row r="123" spans="1:30" s="161" customFormat="1" ht="39.950000000000003" hidden="1" customHeight="1" outlineLevel="2" x14ac:dyDescent="0.25">
      <c r="A123" s="21"/>
      <c r="B123" s="21" t="s">
        <v>3482</v>
      </c>
      <c r="C123" s="159" t="s">
        <v>3596</v>
      </c>
      <c r="D123" s="161">
        <v>48400</v>
      </c>
      <c r="E123" s="161">
        <v>316</v>
      </c>
      <c r="F123" s="161">
        <v>153</v>
      </c>
      <c r="G123" s="161" t="s">
        <v>3776</v>
      </c>
      <c r="H123" s="161" t="s">
        <v>186</v>
      </c>
      <c r="I123" s="161">
        <v>66</v>
      </c>
      <c r="J123" s="161" t="s">
        <v>389</v>
      </c>
      <c r="K123" s="21" t="s">
        <v>106</v>
      </c>
      <c r="L123" s="161" t="s">
        <v>3380</v>
      </c>
      <c r="M123" s="21" t="s">
        <v>2107</v>
      </c>
      <c r="N123" s="161" t="s">
        <v>67</v>
      </c>
      <c r="O123" s="21" t="s">
        <v>1553</v>
      </c>
      <c r="P123" s="161" t="s">
        <v>109</v>
      </c>
      <c r="Q123" s="21" t="s">
        <v>70</v>
      </c>
      <c r="R123" s="161">
        <v>70</v>
      </c>
      <c r="S123" s="161" t="s">
        <v>3592</v>
      </c>
      <c r="T123" s="161" t="s">
        <v>174</v>
      </c>
      <c r="U123" s="161" t="s">
        <v>73</v>
      </c>
      <c r="V123" s="21" t="s">
        <v>74</v>
      </c>
      <c r="W123" s="21" t="s">
        <v>75</v>
      </c>
      <c r="X123" s="161" t="s">
        <v>3663</v>
      </c>
      <c r="Y123" s="161">
        <v>7.8803789400000004E-2</v>
      </c>
      <c r="AA123" s="161" t="s">
        <v>77</v>
      </c>
      <c r="AB123" s="161" t="s">
        <v>114</v>
      </c>
      <c r="AC123" s="266" t="str">
        <f>HYPERLINK("https://gcsvt.ru/svetodiodnyie-svetilniki/SVT-Str-MPRO-79W-Ex-QUATTRO-100/","Ссылка")</f>
        <v>Ссылка</v>
      </c>
      <c r="AD123" s="167">
        <v>128520</v>
      </c>
    </row>
    <row r="124" spans="1:30" s="161" customFormat="1" ht="39.950000000000003" hidden="1" customHeight="1" outlineLevel="2" x14ac:dyDescent="0.25">
      <c r="A124" s="21"/>
      <c r="B124" s="21" t="s">
        <v>3482</v>
      </c>
      <c r="C124" s="159" t="s">
        <v>3597</v>
      </c>
      <c r="D124" s="161">
        <v>48400</v>
      </c>
      <c r="E124" s="161">
        <v>316</v>
      </c>
      <c r="F124" s="161">
        <v>153</v>
      </c>
      <c r="G124" s="161" t="s">
        <v>3777</v>
      </c>
      <c r="H124" s="161" t="s">
        <v>189</v>
      </c>
      <c r="I124" s="161">
        <v>66</v>
      </c>
      <c r="J124" s="161" t="s">
        <v>389</v>
      </c>
      <c r="K124" s="21" t="s">
        <v>106</v>
      </c>
      <c r="L124" s="161" t="s">
        <v>3380</v>
      </c>
      <c r="M124" s="21" t="s">
        <v>2107</v>
      </c>
      <c r="N124" s="161" t="s">
        <v>67</v>
      </c>
      <c r="O124" s="21" t="s">
        <v>1553</v>
      </c>
      <c r="P124" s="161" t="s">
        <v>109</v>
      </c>
      <c r="Q124" s="21" t="s">
        <v>70</v>
      </c>
      <c r="R124" s="161">
        <v>70</v>
      </c>
      <c r="S124" s="161" t="s">
        <v>3592</v>
      </c>
      <c r="T124" s="161" t="s">
        <v>174</v>
      </c>
      <c r="U124" s="161" t="s">
        <v>73</v>
      </c>
      <c r="V124" s="21" t="s">
        <v>74</v>
      </c>
      <c r="W124" s="21" t="s">
        <v>75</v>
      </c>
      <c r="X124" s="161" t="s">
        <v>3663</v>
      </c>
      <c r="Y124" s="161">
        <v>7.8803789400000004E-2</v>
      </c>
      <c r="AA124" s="161" t="s">
        <v>77</v>
      </c>
      <c r="AB124" s="161" t="s">
        <v>114</v>
      </c>
      <c r="AC124" s="266" t="str">
        <f>HYPERLINK("https://gcsvt.ru/svetodiodnyie-svetilniki/SVT-Str-MPRO-79W-Ex-QUATTRO-30x120/","Ссылка")</f>
        <v>Ссылка</v>
      </c>
      <c r="AD124" s="167">
        <v>128520</v>
      </c>
    </row>
    <row r="125" spans="1:30" s="161" customFormat="1" ht="39.950000000000003" hidden="1" customHeight="1" outlineLevel="2" x14ac:dyDescent="0.25">
      <c r="A125" s="21"/>
      <c r="B125" s="21" t="s">
        <v>3482</v>
      </c>
      <c r="C125" s="159" t="s">
        <v>3598</v>
      </c>
      <c r="D125" s="161">
        <v>48400</v>
      </c>
      <c r="E125" s="161">
        <v>316</v>
      </c>
      <c r="F125" s="161">
        <v>153</v>
      </c>
      <c r="G125" s="161" t="s">
        <v>3778</v>
      </c>
      <c r="H125" s="161" t="s">
        <v>192</v>
      </c>
      <c r="I125" s="161">
        <v>66</v>
      </c>
      <c r="J125" s="161" t="s">
        <v>389</v>
      </c>
      <c r="K125" s="21" t="s">
        <v>106</v>
      </c>
      <c r="L125" s="161" t="s">
        <v>3380</v>
      </c>
      <c r="M125" s="21" t="s">
        <v>2107</v>
      </c>
      <c r="N125" s="161" t="s">
        <v>67</v>
      </c>
      <c r="O125" s="21" t="s">
        <v>1553</v>
      </c>
      <c r="P125" s="161" t="s">
        <v>109</v>
      </c>
      <c r="Q125" s="21" t="s">
        <v>70</v>
      </c>
      <c r="R125" s="161">
        <v>70</v>
      </c>
      <c r="S125" s="161" t="s">
        <v>3592</v>
      </c>
      <c r="T125" s="161" t="s">
        <v>174</v>
      </c>
      <c r="U125" s="161" t="s">
        <v>73</v>
      </c>
      <c r="V125" s="21" t="s">
        <v>74</v>
      </c>
      <c r="W125" s="21" t="s">
        <v>75</v>
      </c>
      <c r="X125" s="161" t="s">
        <v>3663</v>
      </c>
      <c r="Y125" s="161">
        <v>7.8803789400000004E-2</v>
      </c>
      <c r="AA125" s="161" t="s">
        <v>77</v>
      </c>
      <c r="AB125" s="161" t="s">
        <v>114</v>
      </c>
      <c r="AC125" s="266" t="str">
        <f>HYPERLINK("https://gcsvt.ru/svetodiodnyie-svetilniki/SVT-Str-MPRO-79W-Ex-QUATTRO-150/","Ссылка")</f>
        <v>Ссылка</v>
      </c>
      <c r="AD125" s="167">
        <v>128520</v>
      </c>
    </row>
    <row r="126" spans="1:30" s="161" customFormat="1" ht="39.950000000000003" hidden="1" customHeight="1" outlineLevel="2" x14ac:dyDescent="0.25">
      <c r="A126" s="21"/>
      <c r="B126" s="21" t="s">
        <v>3482</v>
      </c>
      <c r="C126" s="159" t="s">
        <v>3599</v>
      </c>
      <c r="D126" s="161">
        <v>66160</v>
      </c>
      <c r="E126" s="161">
        <v>408</v>
      </c>
      <c r="F126" s="161">
        <v>162</v>
      </c>
      <c r="G126" s="161" t="s">
        <v>3779</v>
      </c>
      <c r="H126" s="161" t="s">
        <v>63</v>
      </c>
      <c r="I126" s="161">
        <v>66</v>
      </c>
      <c r="J126" s="161" t="s">
        <v>389</v>
      </c>
      <c r="K126" s="21" t="s">
        <v>106</v>
      </c>
      <c r="L126" s="161" t="s">
        <v>3380</v>
      </c>
      <c r="M126" s="21" t="s">
        <v>2107</v>
      </c>
      <c r="N126" s="161" t="s">
        <v>67</v>
      </c>
      <c r="O126" s="21" t="s">
        <v>1553</v>
      </c>
      <c r="P126" s="161" t="s">
        <v>109</v>
      </c>
      <c r="Q126" s="21" t="s">
        <v>70</v>
      </c>
      <c r="R126" s="161">
        <v>70</v>
      </c>
      <c r="S126" s="161" t="s">
        <v>3600</v>
      </c>
      <c r="T126" s="161" t="s">
        <v>174</v>
      </c>
      <c r="U126" s="161" t="s">
        <v>73</v>
      </c>
      <c r="V126" s="21" t="s">
        <v>74</v>
      </c>
      <c r="W126" s="21" t="s">
        <v>75</v>
      </c>
      <c r="X126" s="161" t="s">
        <v>3664</v>
      </c>
      <c r="Y126" s="161">
        <v>0.1048977594</v>
      </c>
      <c r="AA126" s="161" t="s">
        <v>77</v>
      </c>
      <c r="AB126" s="161" t="s">
        <v>114</v>
      </c>
      <c r="AC126" s="266" t="str">
        <f>HYPERLINK("https://gcsvt.ru/svetodiodnyie-svetilniki/SVT-Str-MPRO-102W-Ex-QUATTRO-45x140/","Ссылка")</f>
        <v>Ссылка</v>
      </c>
      <c r="AD126" s="167">
        <v>138618</v>
      </c>
    </row>
    <row r="127" spans="1:30" s="161" customFormat="1" ht="39.950000000000003" hidden="1" customHeight="1" outlineLevel="2" x14ac:dyDescent="0.25">
      <c r="A127" s="21"/>
      <c r="B127" s="21" t="s">
        <v>3482</v>
      </c>
      <c r="C127" s="159" t="s">
        <v>3601</v>
      </c>
      <c r="D127" s="161">
        <v>66160</v>
      </c>
      <c r="E127" s="161">
        <v>408</v>
      </c>
      <c r="F127" s="161">
        <v>162</v>
      </c>
      <c r="G127" s="161" t="s">
        <v>3780</v>
      </c>
      <c r="H127" s="161" t="s">
        <v>177</v>
      </c>
      <c r="I127" s="161">
        <v>66</v>
      </c>
      <c r="J127" s="161" t="s">
        <v>389</v>
      </c>
      <c r="K127" s="21" t="s">
        <v>106</v>
      </c>
      <c r="L127" s="161" t="s">
        <v>3380</v>
      </c>
      <c r="M127" s="21" t="s">
        <v>2107</v>
      </c>
      <c r="N127" s="161" t="s">
        <v>67</v>
      </c>
      <c r="O127" s="21" t="s">
        <v>1553</v>
      </c>
      <c r="P127" s="161" t="s">
        <v>109</v>
      </c>
      <c r="Q127" s="21" t="s">
        <v>70</v>
      </c>
      <c r="R127" s="161">
        <v>70</v>
      </c>
      <c r="S127" s="161" t="s">
        <v>3600</v>
      </c>
      <c r="T127" s="161" t="s">
        <v>174</v>
      </c>
      <c r="U127" s="161" t="s">
        <v>73</v>
      </c>
      <c r="V127" s="21" t="s">
        <v>74</v>
      </c>
      <c r="W127" s="21" t="s">
        <v>75</v>
      </c>
      <c r="X127" s="161" t="s">
        <v>3664</v>
      </c>
      <c r="Y127" s="161">
        <v>0.1048977594</v>
      </c>
      <c r="AA127" s="161" t="s">
        <v>77</v>
      </c>
      <c r="AB127" s="161" t="s">
        <v>114</v>
      </c>
      <c r="AC127" s="266" t="str">
        <f>HYPERLINK("https://gcsvt.ru/svetodiodnyie-svetilniki/SVT-Str-MPRO-102W-Ex-QUATTRO-20/","Ссылка")</f>
        <v>Ссылка</v>
      </c>
      <c r="AD127" s="167">
        <v>138618</v>
      </c>
    </row>
    <row r="128" spans="1:30" s="161" customFormat="1" ht="39.950000000000003" hidden="1" customHeight="1" outlineLevel="2" x14ac:dyDescent="0.25">
      <c r="A128" s="21"/>
      <c r="B128" s="21" t="s">
        <v>3482</v>
      </c>
      <c r="C128" s="159" t="s">
        <v>3602</v>
      </c>
      <c r="D128" s="161">
        <v>66160</v>
      </c>
      <c r="E128" s="161">
        <v>408</v>
      </c>
      <c r="F128" s="161">
        <v>162</v>
      </c>
      <c r="G128" s="161" t="s">
        <v>3781</v>
      </c>
      <c r="H128" s="161" t="s">
        <v>180</v>
      </c>
      <c r="I128" s="161">
        <v>66</v>
      </c>
      <c r="J128" s="161" t="s">
        <v>389</v>
      </c>
      <c r="K128" s="21" t="s">
        <v>106</v>
      </c>
      <c r="L128" s="161" t="s">
        <v>3380</v>
      </c>
      <c r="M128" s="21" t="s">
        <v>2107</v>
      </c>
      <c r="N128" s="161" t="s">
        <v>67</v>
      </c>
      <c r="O128" s="21" t="s">
        <v>1553</v>
      </c>
      <c r="P128" s="161" t="s">
        <v>109</v>
      </c>
      <c r="Q128" s="21" t="s">
        <v>70</v>
      </c>
      <c r="R128" s="161">
        <v>70</v>
      </c>
      <c r="S128" s="161" t="s">
        <v>3600</v>
      </c>
      <c r="T128" s="161" t="s">
        <v>174</v>
      </c>
      <c r="U128" s="161" t="s">
        <v>73</v>
      </c>
      <c r="V128" s="21" t="s">
        <v>74</v>
      </c>
      <c r="W128" s="21" t="s">
        <v>75</v>
      </c>
      <c r="X128" s="161" t="s">
        <v>3664</v>
      </c>
      <c r="Y128" s="161">
        <v>0.1048977594</v>
      </c>
      <c r="AA128" s="161" t="s">
        <v>77</v>
      </c>
      <c r="AB128" s="161" t="s">
        <v>114</v>
      </c>
      <c r="AC128" s="266" t="str">
        <f>HYPERLINK("https://gcsvt.ru/svetodiodnyie-svetilniki/SVT-Str-MPRO-102W-Ex-QUATTRO-35/","Ссылка")</f>
        <v>Ссылка</v>
      </c>
      <c r="AD128" s="167">
        <v>138618</v>
      </c>
    </row>
    <row r="129" spans="1:30" s="161" customFormat="1" ht="39.950000000000003" hidden="1" customHeight="1" outlineLevel="2" x14ac:dyDescent="0.25">
      <c r="A129" s="21"/>
      <c r="B129" s="21" t="s">
        <v>3482</v>
      </c>
      <c r="C129" s="159" t="s">
        <v>3603</v>
      </c>
      <c r="D129" s="161">
        <v>66160</v>
      </c>
      <c r="E129" s="161">
        <v>408</v>
      </c>
      <c r="F129" s="161">
        <v>162</v>
      </c>
      <c r="G129" s="161" t="s">
        <v>3782</v>
      </c>
      <c r="H129" s="161" t="s">
        <v>183</v>
      </c>
      <c r="I129" s="161">
        <v>66</v>
      </c>
      <c r="J129" s="161" t="s">
        <v>389</v>
      </c>
      <c r="K129" s="21" t="s">
        <v>106</v>
      </c>
      <c r="L129" s="161" t="s">
        <v>3380</v>
      </c>
      <c r="M129" s="21" t="s">
        <v>2107</v>
      </c>
      <c r="N129" s="161" t="s">
        <v>67</v>
      </c>
      <c r="O129" s="21" t="s">
        <v>1553</v>
      </c>
      <c r="P129" s="161" t="s">
        <v>109</v>
      </c>
      <c r="Q129" s="21" t="s">
        <v>70</v>
      </c>
      <c r="R129" s="161">
        <v>70</v>
      </c>
      <c r="S129" s="161" t="s">
        <v>3600</v>
      </c>
      <c r="T129" s="161" t="s">
        <v>174</v>
      </c>
      <c r="U129" s="161" t="s">
        <v>73</v>
      </c>
      <c r="V129" s="21" t="s">
        <v>74</v>
      </c>
      <c r="W129" s="21" t="s">
        <v>75</v>
      </c>
      <c r="X129" s="161" t="s">
        <v>3664</v>
      </c>
      <c r="Y129" s="161">
        <v>0.1048977594</v>
      </c>
      <c r="AA129" s="161" t="s">
        <v>77</v>
      </c>
      <c r="AB129" s="161" t="s">
        <v>114</v>
      </c>
      <c r="AC129" s="266" t="str">
        <f>HYPERLINK("https://gcsvt.ru/svetodiodnyie-svetilniki/SVT-Str-MPRO-102W-Ex-QUATTRO-65/","Ссылка")</f>
        <v>Ссылка</v>
      </c>
      <c r="AD129" s="167">
        <v>138618</v>
      </c>
    </row>
    <row r="130" spans="1:30" s="161" customFormat="1" ht="39.950000000000003" hidden="1" customHeight="1" outlineLevel="2" x14ac:dyDescent="0.25">
      <c r="A130" s="21"/>
      <c r="B130" s="21" t="s">
        <v>3482</v>
      </c>
      <c r="C130" s="159" t="s">
        <v>3604</v>
      </c>
      <c r="D130" s="161">
        <v>66160</v>
      </c>
      <c r="E130" s="161">
        <v>408</v>
      </c>
      <c r="F130" s="161">
        <v>162</v>
      </c>
      <c r="G130" s="161" t="s">
        <v>3783</v>
      </c>
      <c r="H130" s="161" t="s">
        <v>186</v>
      </c>
      <c r="I130" s="161">
        <v>66</v>
      </c>
      <c r="J130" s="161" t="s">
        <v>389</v>
      </c>
      <c r="K130" s="21" t="s">
        <v>106</v>
      </c>
      <c r="L130" s="161" t="s">
        <v>3380</v>
      </c>
      <c r="M130" s="21" t="s">
        <v>2107</v>
      </c>
      <c r="N130" s="161" t="s">
        <v>67</v>
      </c>
      <c r="O130" s="21" t="s">
        <v>1553</v>
      </c>
      <c r="P130" s="161" t="s">
        <v>109</v>
      </c>
      <c r="Q130" s="21" t="s">
        <v>70</v>
      </c>
      <c r="R130" s="161">
        <v>70</v>
      </c>
      <c r="S130" s="161" t="s">
        <v>3600</v>
      </c>
      <c r="T130" s="161" t="s">
        <v>174</v>
      </c>
      <c r="U130" s="161" t="s">
        <v>73</v>
      </c>
      <c r="V130" s="21" t="s">
        <v>74</v>
      </c>
      <c r="W130" s="21" t="s">
        <v>75</v>
      </c>
      <c r="X130" s="161" t="s">
        <v>3664</v>
      </c>
      <c r="Y130" s="161">
        <v>0.1048977594</v>
      </c>
      <c r="AA130" s="161" t="s">
        <v>77</v>
      </c>
      <c r="AB130" s="161" t="s">
        <v>114</v>
      </c>
      <c r="AC130" s="266" t="str">
        <f>HYPERLINK("https://gcsvt.ru/svetodiodnyie-svetilniki/SVT-Str-MPRO-102W-Ex-QUATTRO-100/","Ссылка")</f>
        <v>Ссылка</v>
      </c>
      <c r="AD130" s="167">
        <v>138618</v>
      </c>
    </row>
    <row r="131" spans="1:30" s="161" customFormat="1" ht="39.950000000000003" hidden="1" customHeight="1" outlineLevel="2" x14ac:dyDescent="0.25">
      <c r="A131" s="21"/>
      <c r="B131" s="21" t="s">
        <v>3482</v>
      </c>
      <c r="C131" s="159" t="s">
        <v>3605</v>
      </c>
      <c r="D131" s="161">
        <v>66160</v>
      </c>
      <c r="E131" s="161">
        <v>408</v>
      </c>
      <c r="F131" s="161">
        <v>162</v>
      </c>
      <c r="G131" s="161" t="s">
        <v>3784</v>
      </c>
      <c r="H131" s="161" t="s">
        <v>189</v>
      </c>
      <c r="I131" s="161">
        <v>66</v>
      </c>
      <c r="J131" s="161" t="s">
        <v>389</v>
      </c>
      <c r="K131" s="21" t="s">
        <v>106</v>
      </c>
      <c r="L131" s="161" t="s">
        <v>3380</v>
      </c>
      <c r="M131" s="21" t="s">
        <v>2107</v>
      </c>
      <c r="N131" s="161" t="s">
        <v>67</v>
      </c>
      <c r="O131" s="21" t="s">
        <v>1553</v>
      </c>
      <c r="P131" s="161" t="s">
        <v>109</v>
      </c>
      <c r="Q131" s="21" t="s">
        <v>70</v>
      </c>
      <c r="R131" s="161">
        <v>70</v>
      </c>
      <c r="S131" s="161" t="s">
        <v>3600</v>
      </c>
      <c r="T131" s="161" t="s">
        <v>174</v>
      </c>
      <c r="U131" s="161" t="s">
        <v>73</v>
      </c>
      <c r="V131" s="21" t="s">
        <v>74</v>
      </c>
      <c r="W131" s="21" t="s">
        <v>75</v>
      </c>
      <c r="X131" s="161" t="s">
        <v>3664</v>
      </c>
      <c r="Y131" s="161">
        <v>0.1048977594</v>
      </c>
      <c r="AA131" s="161" t="s">
        <v>77</v>
      </c>
      <c r="AB131" s="161" t="s">
        <v>114</v>
      </c>
      <c r="AC131" s="266" t="str">
        <f>HYPERLINK("https://gcsvt.ru/svetodiodnyie-svetilniki/SVT-Str-MPRO-102W-Ex-QUATTRO-30x120/","Ссылка")</f>
        <v>Ссылка</v>
      </c>
      <c r="AD131" s="167">
        <v>138618</v>
      </c>
    </row>
    <row r="132" spans="1:30" s="161" customFormat="1" ht="39.950000000000003" hidden="1" customHeight="1" outlineLevel="2" x14ac:dyDescent="0.25">
      <c r="A132" s="21"/>
      <c r="B132" s="21" t="s">
        <v>3482</v>
      </c>
      <c r="C132" s="159" t="s">
        <v>3606</v>
      </c>
      <c r="D132" s="161">
        <v>66160</v>
      </c>
      <c r="E132" s="161">
        <v>408</v>
      </c>
      <c r="F132" s="161">
        <v>162</v>
      </c>
      <c r="G132" s="161" t="s">
        <v>3785</v>
      </c>
      <c r="H132" s="161" t="s">
        <v>192</v>
      </c>
      <c r="I132" s="161">
        <v>66</v>
      </c>
      <c r="J132" s="161" t="s">
        <v>389</v>
      </c>
      <c r="K132" s="21" t="s">
        <v>106</v>
      </c>
      <c r="L132" s="161" t="s">
        <v>3380</v>
      </c>
      <c r="M132" s="21" t="s">
        <v>2107</v>
      </c>
      <c r="N132" s="161" t="s">
        <v>67</v>
      </c>
      <c r="O132" s="21" t="s">
        <v>1553</v>
      </c>
      <c r="P132" s="161" t="s">
        <v>109</v>
      </c>
      <c r="Q132" s="21" t="s">
        <v>70</v>
      </c>
      <c r="R132" s="161">
        <v>70</v>
      </c>
      <c r="S132" s="161" t="s">
        <v>3600</v>
      </c>
      <c r="T132" s="161" t="s">
        <v>174</v>
      </c>
      <c r="U132" s="161" t="s">
        <v>73</v>
      </c>
      <c r="V132" s="21" t="s">
        <v>74</v>
      </c>
      <c r="W132" s="21" t="s">
        <v>75</v>
      </c>
      <c r="X132" s="161" t="s">
        <v>3664</v>
      </c>
      <c r="Y132" s="161">
        <v>0.1048977594</v>
      </c>
      <c r="AA132" s="161" t="s">
        <v>77</v>
      </c>
      <c r="AB132" s="161" t="s">
        <v>114</v>
      </c>
      <c r="AC132" s="266" t="str">
        <f>HYPERLINK("https://gcsvt.ru/svetodiodnyie-svetilniki/SVT-Str-MPRO-102W-Ex-QUATTRO-150/","Ссылка")</f>
        <v>Ссылка</v>
      </c>
      <c r="AD132" s="167">
        <v>138618</v>
      </c>
    </row>
    <row r="133" spans="1:30" s="161" customFormat="1" ht="39.950000000000003" hidden="1" customHeight="1" outlineLevel="1" collapsed="1" x14ac:dyDescent="0.25">
      <c r="A133" s="21"/>
      <c r="B133" s="196" t="s">
        <v>3679</v>
      </c>
      <c r="C133" s="212"/>
      <c r="D133" s="213"/>
      <c r="K133" s="21"/>
      <c r="M133" s="21"/>
      <c r="O133" s="21"/>
      <c r="Q133" s="21"/>
      <c r="V133" s="21"/>
      <c r="W133" s="21"/>
      <c r="AC133" s="228"/>
      <c r="AD133" s="167"/>
    </row>
    <row r="134" spans="1:30" s="161" customFormat="1" ht="39.950000000000003" hidden="1" customHeight="1" outlineLevel="2" x14ac:dyDescent="0.25">
      <c r="A134" s="21"/>
      <c r="B134" s="21" t="s">
        <v>3607</v>
      </c>
      <c r="C134" s="159" t="s">
        <v>3608</v>
      </c>
      <c r="D134" s="161">
        <v>720</v>
      </c>
      <c r="E134" s="161">
        <v>6</v>
      </c>
      <c r="F134" s="161">
        <v>120</v>
      </c>
      <c r="G134" s="161" t="s">
        <v>3786</v>
      </c>
      <c r="H134" s="161" t="s">
        <v>138</v>
      </c>
      <c r="I134" s="161">
        <v>66</v>
      </c>
      <c r="J134" s="161" t="s">
        <v>389</v>
      </c>
      <c r="K134" s="21" t="s">
        <v>106</v>
      </c>
      <c r="L134" s="161" t="s">
        <v>3380</v>
      </c>
      <c r="M134" s="21" t="s">
        <v>2107</v>
      </c>
      <c r="N134" s="161" t="s">
        <v>67</v>
      </c>
      <c r="O134" s="21" t="s">
        <v>1553</v>
      </c>
      <c r="P134" s="161" t="s">
        <v>109</v>
      </c>
      <c r="Q134" s="21" t="s">
        <v>70</v>
      </c>
      <c r="R134" s="161">
        <v>80</v>
      </c>
      <c r="S134" s="161" t="s">
        <v>3385</v>
      </c>
      <c r="U134" s="161" t="s">
        <v>73</v>
      </c>
      <c r="V134" s="21" t="s">
        <v>74</v>
      </c>
      <c r="W134" s="21" t="s">
        <v>3609</v>
      </c>
      <c r="X134" s="161" t="s">
        <v>3646</v>
      </c>
      <c r="Y134" s="161">
        <v>1.2940200000000001E-3</v>
      </c>
      <c r="AA134" s="161" t="s">
        <v>77</v>
      </c>
      <c r="AB134" s="161" t="s">
        <v>114</v>
      </c>
      <c r="AC134" s="266" t="str">
        <f>HYPERLINK("https://gcsvt.ru/svetodiodnyie-svetilniki/SVT-Str-DIRECT-6W-Ex-120/","Ссылка")</f>
        <v>Ссылка</v>
      </c>
      <c r="AD134" s="167">
        <v>8608</v>
      </c>
    </row>
    <row r="135" spans="1:30" s="161" customFormat="1" ht="39.950000000000003" hidden="1" customHeight="1" outlineLevel="2" x14ac:dyDescent="0.25">
      <c r="A135" s="21"/>
      <c r="B135" s="21" t="s">
        <v>3607</v>
      </c>
      <c r="C135" s="159" t="s">
        <v>3610</v>
      </c>
      <c r="D135" s="161">
        <v>1440</v>
      </c>
      <c r="E135" s="161">
        <v>12</v>
      </c>
      <c r="F135" s="161">
        <v>120</v>
      </c>
      <c r="G135" s="161" t="s">
        <v>3787</v>
      </c>
      <c r="H135" s="161" t="s">
        <v>138</v>
      </c>
      <c r="I135" s="161">
        <v>66</v>
      </c>
      <c r="J135" s="161" t="s">
        <v>389</v>
      </c>
      <c r="K135" s="21" t="s">
        <v>106</v>
      </c>
      <c r="L135" s="161" t="s">
        <v>3380</v>
      </c>
      <c r="M135" s="21" t="s">
        <v>2107</v>
      </c>
      <c r="N135" s="161" t="s">
        <v>67</v>
      </c>
      <c r="O135" s="21" t="s">
        <v>1553</v>
      </c>
      <c r="P135" s="161" t="s">
        <v>109</v>
      </c>
      <c r="Q135" s="21" t="s">
        <v>70</v>
      </c>
      <c r="R135" s="161">
        <v>80</v>
      </c>
      <c r="S135" s="161" t="s">
        <v>1554</v>
      </c>
      <c r="T135" s="161" t="s">
        <v>1555</v>
      </c>
      <c r="U135" s="161" t="s">
        <v>73</v>
      </c>
      <c r="V135" s="21" t="s">
        <v>74</v>
      </c>
      <c r="W135" s="21" t="s">
        <v>3609</v>
      </c>
      <c r="X135" s="161" t="s">
        <v>3647</v>
      </c>
      <c r="Y135" s="161">
        <v>2.5225199999999999E-3</v>
      </c>
      <c r="AA135" s="161" t="s">
        <v>77</v>
      </c>
      <c r="AB135" s="161" t="s">
        <v>114</v>
      </c>
      <c r="AC135" s="266" t="str">
        <f>HYPERLINK("https://gcsvt.ru/svetodiodnyie-svetilniki/SVT-Str-DIRECT-12W-Ex-120/","Ссылка")</f>
        <v>Ссылка</v>
      </c>
      <c r="AD135" s="167">
        <v>9180</v>
      </c>
    </row>
    <row r="136" spans="1:30" s="161" customFormat="1" ht="39.950000000000003" hidden="1" customHeight="1" outlineLevel="2" x14ac:dyDescent="0.25">
      <c r="A136" s="21"/>
      <c r="B136" s="21" t="s">
        <v>3607</v>
      </c>
      <c r="C136" s="159" t="s">
        <v>3611</v>
      </c>
      <c r="D136" s="161">
        <v>2880</v>
      </c>
      <c r="E136" s="161">
        <v>24</v>
      </c>
      <c r="F136" s="161">
        <v>120</v>
      </c>
      <c r="G136" s="161" t="s">
        <v>3788</v>
      </c>
      <c r="H136" s="161" t="s">
        <v>138</v>
      </c>
      <c r="I136" s="161">
        <v>66</v>
      </c>
      <c r="J136" s="161" t="s">
        <v>389</v>
      </c>
      <c r="K136" s="21" t="s">
        <v>106</v>
      </c>
      <c r="L136" s="161" t="s">
        <v>3380</v>
      </c>
      <c r="M136" s="21" t="s">
        <v>2107</v>
      </c>
      <c r="N136" s="161" t="s">
        <v>67</v>
      </c>
      <c r="O136" s="21" t="s">
        <v>1553</v>
      </c>
      <c r="P136" s="161" t="s">
        <v>109</v>
      </c>
      <c r="Q136" s="21" t="s">
        <v>70</v>
      </c>
      <c r="R136" s="161">
        <v>80</v>
      </c>
      <c r="S136" s="161" t="s">
        <v>1560</v>
      </c>
      <c r="T136" s="161" t="s">
        <v>1555</v>
      </c>
      <c r="U136" s="161" t="s">
        <v>73</v>
      </c>
      <c r="V136" s="21" t="s">
        <v>74</v>
      </c>
      <c r="W136" s="21" t="s">
        <v>3609</v>
      </c>
      <c r="X136" s="161" t="s">
        <v>3648</v>
      </c>
      <c r="Y136" s="161">
        <v>4.9795200000000003E-3</v>
      </c>
      <c r="AA136" s="161" t="s">
        <v>77</v>
      </c>
      <c r="AB136" s="161" t="s">
        <v>114</v>
      </c>
      <c r="AC136" s="266" t="str">
        <f>HYPERLINK("https://gcsvt.ru/svetodiodnyie-svetilniki/SVT-Str-DIRECT-24W-Ex-120/","Ссылка")</f>
        <v>Ссылка</v>
      </c>
      <c r="AD136" s="167">
        <v>10098</v>
      </c>
    </row>
    <row r="137" spans="1:30" s="161" customFormat="1" ht="39.950000000000003" hidden="1" customHeight="1" outlineLevel="2" x14ac:dyDescent="0.25">
      <c r="A137" s="21"/>
      <c r="B137" s="21" t="s">
        <v>3607</v>
      </c>
      <c r="C137" s="159" t="s">
        <v>3612</v>
      </c>
      <c r="D137" s="161">
        <v>4320</v>
      </c>
      <c r="E137" s="161">
        <v>36</v>
      </c>
      <c r="F137" s="161">
        <v>120</v>
      </c>
      <c r="G137" s="161" t="s">
        <v>3789</v>
      </c>
      <c r="H137" s="161" t="s">
        <v>138</v>
      </c>
      <c r="I137" s="161">
        <v>66</v>
      </c>
      <c r="J137" s="161" t="s">
        <v>389</v>
      </c>
      <c r="K137" s="21" t="s">
        <v>106</v>
      </c>
      <c r="L137" s="161" t="s">
        <v>3380</v>
      </c>
      <c r="M137" s="21" t="s">
        <v>2107</v>
      </c>
      <c r="N137" s="161" t="s">
        <v>67</v>
      </c>
      <c r="O137" s="21" t="s">
        <v>1553</v>
      </c>
      <c r="P137" s="161" t="s">
        <v>109</v>
      </c>
      <c r="Q137" s="21" t="s">
        <v>70</v>
      </c>
      <c r="R137" s="161">
        <v>80</v>
      </c>
      <c r="S137" s="161" t="s">
        <v>1564</v>
      </c>
      <c r="T137" s="161" t="s">
        <v>1555</v>
      </c>
      <c r="U137" s="161" t="s">
        <v>73</v>
      </c>
      <c r="V137" s="21" t="s">
        <v>74</v>
      </c>
      <c r="W137" s="21" t="s">
        <v>3609</v>
      </c>
      <c r="X137" s="161" t="s">
        <v>3649</v>
      </c>
      <c r="Y137" s="161">
        <v>7.4365200000000003E-3</v>
      </c>
      <c r="AA137" s="161" t="s">
        <v>77</v>
      </c>
      <c r="AB137" s="161" t="s">
        <v>114</v>
      </c>
      <c r="AC137" s="266" t="str">
        <f>HYPERLINK("https://gcsvt.ru/svetodiodnyie-svetilniki/SVT-Str-DIRECT-36W-Ex-120/","Ссылка")</f>
        <v>Ссылка</v>
      </c>
      <c r="AD137" s="167">
        <v>11475</v>
      </c>
    </row>
    <row r="138" spans="1:30" s="161" customFormat="1" ht="39.950000000000003" hidden="1" customHeight="1" outlineLevel="2" x14ac:dyDescent="0.25">
      <c r="A138" s="21"/>
      <c r="B138" s="21" t="s">
        <v>3607</v>
      </c>
      <c r="C138" s="159" t="s">
        <v>3613</v>
      </c>
      <c r="D138" s="161">
        <v>6000</v>
      </c>
      <c r="E138" s="161">
        <v>50</v>
      </c>
      <c r="F138" s="161">
        <v>120</v>
      </c>
      <c r="G138" s="161" t="s">
        <v>3790</v>
      </c>
      <c r="H138" s="161" t="s">
        <v>138</v>
      </c>
      <c r="I138" s="161">
        <v>66</v>
      </c>
      <c r="J138" s="161" t="s">
        <v>389</v>
      </c>
      <c r="K138" s="21" t="s">
        <v>106</v>
      </c>
      <c r="L138" s="161" t="s">
        <v>3380</v>
      </c>
      <c r="M138" s="21" t="s">
        <v>2107</v>
      </c>
      <c r="N138" s="161" t="s">
        <v>67</v>
      </c>
      <c r="O138" s="21" t="s">
        <v>1553</v>
      </c>
      <c r="P138" s="161" t="s">
        <v>109</v>
      </c>
      <c r="Q138" s="21" t="s">
        <v>70</v>
      </c>
      <c r="R138" s="161">
        <v>80</v>
      </c>
      <c r="S138" s="161" t="s">
        <v>1568</v>
      </c>
      <c r="T138" s="161" t="s">
        <v>1555</v>
      </c>
      <c r="U138" s="161" t="s">
        <v>73</v>
      </c>
      <c r="V138" s="21" t="s">
        <v>74</v>
      </c>
      <c r="W138" s="21" t="s">
        <v>3609</v>
      </c>
      <c r="X138" s="161" t="s">
        <v>3650</v>
      </c>
      <c r="Y138" s="161">
        <v>9.8935199999999994E-3</v>
      </c>
      <c r="AA138" s="161" t="s">
        <v>77</v>
      </c>
      <c r="AB138" s="161" t="s">
        <v>114</v>
      </c>
      <c r="AC138" s="266" t="str">
        <f>HYPERLINK("https://gcsvt.ru/svetodiodnyie-svetilniki/SVT-Str-DIRECT-50W-Ex-120/","Ссылка")</f>
        <v>Ссылка</v>
      </c>
      <c r="AD138" s="167">
        <v>12393</v>
      </c>
    </row>
    <row r="139" spans="1:30" s="161" customFormat="1" ht="39.950000000000003" hidden="1" customHeight="1" outlineLevel="2" x14ac:dyDescent="0.25">
      <c r="A139" s="21"/>
      <c r="B139" s="21" t="s">
        <v>3607</v>
      </c>
      <c r="C139" s="159" t="s">
        <v>3614</v>
      </c>
      <c r="D139" s="161">
        <v>7680</v>
      </c>
      <c r="E139" s="161">
        <v>64</v>
      </c>
      <c r="F139" s="161">
        <v>120</v>
      </c>
      <c r="G139" s="161" t="s">
        <v>3791</v>
      </c>
      <c r="H139" s="161" t="s">
        <v>138</v>
      </c>
      <c r="I139" s="161">
        <v>66</v>
      </c>
      <c r="J139" s="161" t="s">
        <v>389</v>
      </c>
      <c r="K139" s="21" t="s">
        <v>106</v>
      </c>
      <c r="L139" s="161" t="s">
        <v>3380</v>
      </c>
      <c r="M139" s="21" t="s">
        <v>2107</v>
      </c>
      <c r="N139" s="161" t="s">
        <v>67</v>
      </c>
      <c r="O139" s="21" t="s">
        <v>1553</v>
      </c>
      <c r="P139" s="161" t="s">
        <v>109</v>
      </c>
      <c r="Q139" s="21" t="s">
        <v>70</v>
      </c>
      <c r="R139" s="161">
        <v>80</v>
      </c>
      <c r="S139" s="161" t="s">
        <v>634</v>
      </c>
      <c r="T139" s="161" t="s">
        <v>141</v>
      </c>
      <c r="U139" s="161" t="s">
        <v>73</v>
      </c>
      <c r="V139" s="21" t="s">
        <v>74</v>
      </c>
      <c r="W139" s="21" t="s">
        <v>3609</v>
      </c>
      <c r="X139" s="161" t="s">
        <v>3651</v>
      </c>
      <c r="Y139" s="161">
        <v>1.235052E-2</v>
      </c>
      <c r="AA139" s="161" t="s">
        <v>77</v>
      </c>
      <c r="AB139" s="161" t="s">
        <v>114</v>
      </c>
      <c r="AC139" s="266" t="str">
        <f>HYPERLINK("https://gcsvt.ru/svetodiodnyie-svetilniki/SVT-Str-DIRECT-64W-Ex-120/","Ссылка")</f>
        <v>Ссылка</v>
      </c>
      <c r="AD139" s="167">
        <v>13770</v>
      </c>
    </row>
    <row r="140" spans="1:30" s="161" customFormat="1" ht="39.950000000000003" hidden="1" customHeight="1" outlineLevel="1" collapsed="1" x14ac:dyDescent="0.25">
      <c r="A140" s="21"/>
      <c r="B140" s="196" t="s">
        <v>3678</v>
      </c>
      <c r="C140" s="212"/>
      <c r="D140" s="213"/>
      <c r="K140" s="21"/>
      <c r="M140" s="21"/>
      <c r="O140" s="21"/>
      <c r="Q140" s="21"/>
      <c r="V140" s="21"/>
      <c r="W140" s="21"/>
      <c r="AC140" s="228"/>
      <c r="AD140" s="167"/>
    </row>
    <row r="141" spans="1:30" s="161" customFormat="1" ht="39.950000000000003" hidden="1" customHeight="1" outlineLevel="2" x14ac:dyDescent="0.25">
      <c r="A141" s="21"/>
      <c r="B141" s="21" t="s">
        <v>3607</v>
      </c>
      <c r="C141" s="159" t="s">
        <v>3615</v>
      </c>
      <c r="D141" s="161">
        <v>876</v>
      </c>
      <c r="E141" s="161">
        <v>6</v>
      </c>
      <c r="F141" s="161">
        <v>146</v>
      </c>
      <c r="G141" s="161" t="s">
        <v>3792</v>
      </c>
      <c r="H141" s="161" t="s">
        <v>3123</v>
      </c>
      <c r="I141" s="161">
        <v>66</v>
      </c>
      <c r="J141" s="161" t="s">
        <v>389</v>
      </c>
      <c r="K141" s="21" t="s">
        <v>106</v>
      </c>
      <c r="L141" s="161" t="s">
        <v>3380</v>
      </c>
      <c r="M141" s="21" t="s">
        <v>2107</v>
      </c>
      <c r="N141" s="161" t="s">
        <v>67</v>
      </c>
      <c r="O141" s="21" t="s">
        <v>1553</v>
      </c>
      <c r="P141" s="161" t="s">
        <v>109</v>
      </c>
      <c r="Q141" s="21" t="s">
        <v>70</v>
      </c>
      <c r="R141" s="161">
        <v>70</v>
      </c>
      <c r="S141" s="161" t="s">
        <v>3143</v>
      </c>
      <c r="T141" s="161" t="s">
        <v>174</v>
      </c>
      <c r="U141" s="161" t="s">
        <v>73</v>
      </c>
      <c r="V141" s="21" t="s">
        <v>74</v>
      </c>
      <c r="W141" s="21" t="s">
        <v>3609</v>
      </c>
      <c r="X141" s="161" t="s">
        <v>3646</v>
      </c>
      <c r="Y141" s="161">
        <v>1.2940200000000001E-3</v>
      </c>
      <c r="AA141" s="161" t="s">
        <v>77</v>
      </c>
      <c r="AB141" s="161" t="s">
        <v>114</v>
      </c>
      <c r="AC141" s="266" t="str">
        <f>HYPERLINK("https://gcsvt.ru/svetodiodnyie-svetilniki/SVT-Str-DIRECT-6W-Ex-8/","Ссылка")</f>
        <v>Ссылка</v>
      </c>
      <c r="AD141" s="167">
        <v>9180</v>
      </c>
    </row>
    <row r="142" spans="1:30" s="161" customFormat="1" ht="39.950000000000003" hidden="1" customHeight="1" outlineLevel="2" x14ac:dyDescent="0.25">
      <c r="A142" s="21"/>
      <c r="B142" s="21" t="s">
        <v>3607</v>
      </c>
      <c r="C142" s="159" t="s">
        <v>3616</v>
      </c>
      <c r="D142" s="161">
        <v>876</v>
      </c>
      <c r="E142" s="161">
        <v>6</v>
      </c>
      <c r="F142" s="161">
        <v>146</v>
      </c>
      <c r="G142" s="161" t="s">
        <v>3793</v>
      </c>
      <c r="H142" s="161" t="s">
        <v>1805</v>
      </c>
      <c r="I142" s="161">
        <v>66</v>
      </c>
      <c r="J142" s="161" t="s">
        <v>389</v>
      </c>
      <c r="K142" s="21" t="s">
        <v>106</v>
      </c>
      <c r="L142" s="161" t="s">
        <v>3380</v>
      </c>
      <c r="M142" s="21" t="s">
        <v>2107</v>
      </c>
      <c r="N142" s="161" t="s">
        <v>67</v>
      </c>
      <c r="O142" s="21" t="s">
        <v>1553</v>
      </c>
      <c r="P142" s="161" t="s">
        <v>109</v>
      </c>
      <c r="Q142" s="21" t="s">
        <v>70</v>
      </c>
      <c r="R142" s="161">
        <v>70</v>
      </c>
      <c r="S142" s="161" t="s">
        <v>3143</v>
      </c>
      <c r="T142" s="161" t="s">
        <v>174</v>
      </c>
      <c r="U142" s="161" t="s">
        <v>73</v>
      </c>
      <c r="V142" s="21" t="s">
        <v>74</v>
      </c>
      <c r="W142" s="21" t="s">
        <v>3609</v>
      </c>
      <c r="X142" s="161" t="s">
        <v>3646</v>
      </c>
      <c r="Y142" s="161">
        <v>1.2940200000000001E-3</v>
      </c>
      <c r="AA142" s="161" t="s">
        <v>77</v>
      </c>
      <c r="AB142" s="161" t="s">
        <v>114</v>
      </c>
      <c r="AC142" s="266" t="str">
        <f>HYPERLINK("https://gcsvt.ru/svetodiodnyie-svetilniki/SVT-Str-DIRECT-6W-Ex-15/","Ссылка")</f>
        <v>Ссылка</v>
      </c>
      <c r="AD142" s="167">
        <v>9180</v>
      </c>
    </row>
    <row r="143" spans="1:30" s="161" customFormat="1" ht="39.950000000000003" hidden="1" customHeight="1" outlineLevel="2" x14ac:dyDescent="0.25">
      <c r="A143" s="21"/>
      <c r="B143" s="21" t="s">
        <v>3607</v>
      </c>
      <c r="C143" s="159" t="s">
        <v>3617</v>
      </c>
      <c r="D143" s="161">
        <v>876</v>
      </c>
      <c r="E143" s="161">
        <v>6</v>
      </c>
      <c r="F143" s="161">
        <v>146</v>
      </c>
      <c r="G143" s="161" t="s">
        <v>3794</v>
      </c>
      <c r="H143" s="161" t="s">
        <v>1756</v>
      </c>
      <c r="I143" s="161">
        <v>66</v>
      </c>
      <c r="J143" s="161" t="s">
        <v>389</v>
      </c>
      <c r="K143" s="21" t="s">
        <v>106</v>
      </c>
      <c r="L143" s="161" t="s">
        <v>3380</v>
      </c>
      <c r="M143" s="21" t="s">
        <v>2107</v>
      </c>
      <c r="N143" s="161" t="s">
        <v>67</v>
      </c>
      <c r="O143" s="21" t="s">
        <v>1553</v>
      </c>
      <c r="P143" s="161" t="s">
        <v>109</v>
      </c>
      <c r="Q143" s="21" t="s">
        <v>70</v>
      </c>
      <c r="R143" s="161">
        <v>70</v>
      </c>
      <c r="S143" s="161" t="s">
        <v>3143</v>
      </c>
      <c r="T143" s="161" t="s">
        <v>174</v>
      </c>
      <c r="U143" s="161" t="s">
        <v>73</v>
      </c>
      <c r="V143" s="21" t="s">
        <v>74</v>
      </c>
      <c r="W143" s="21" t="s">
        <v>3609</v>
      </c>
      <c r="X143" s="161" t="s">
        <v>3646</v>
      </c>
      <c r="Y143" s="161">
        <v>1.2940200000000001E-3</v>
      </c>
      <c r="AA143" s="161" t="s">
        <v>77</v>
      </c>
      <c r="AB143" s="161" t="s">
        <v>114</v>
      </c>
      <c r="AC143" s="266" t="str">
        <f>HYPERLINK("https://gcsvt.ru/svetodiodnyie-svetilniki/SVT-Str-DIRECT-6W-Ex-25/","Ссылка")</f>
        <v>Ссылка</v>
      </c>
      <c r="AD143" s="167">
        <v>9180</v>
      </c>
    </row>
    <row r="144" spans="1:30" s="161" customFormat="1" ht="39.950000000000003" hidden="1" customHeight="1" outlineLevel="2" x14ac:dyDescent="0.25">
      <c r="A144" s="21"/>
      <c r="B144" s="21" t="s">
        <v>3607</v>
      </c>
      <c r="C144" s="159" t="s">
        <v>3618</v>
      </c>
      <c r="D144" s="161">
        <v>876</v>
      </c>
      <c r="E144" s="161">
        <v>6</v>
      </c>
      <c r="F144" s="161">
        <v>146</v>
      </c>
      <c r="G144" s="161" t="s">
        <v>3795</v>
      </c>
      <c r="H144" s="161" t="s">
        <v>1577</v>
      </c>
      <c r="I144" s="161">
        <v>66</v>
      </c>
      <c r="J144" s="161" t="s">
        <v>389</v>
      </c>
      <c r="K144" s="21" t="s">
        <v>106</v>
      </c>
      <c r="L144" s="161" t="s">
        <v>3380</v>
      </c>
      <c r="M144" s="21" t="s">
        <v>2107</v>
      </c>
      <c r="N144" s="161" t="s">
        <v>67</v>
      </c>
      <c r="O144" s="21" t="s">
        <v>1553</v>
      </c>
      <c r="P144" s="161" t="s">
        <v>109</v>
      </c>
      <c r="Q144" s="21" t="s">
        <v>70</v>
      </c>
      <c r="R144" s="161">
        <v>70</v>
      </c>
      <c r="S144" s="161" t="s">
        <v>3143</v>
      </c>
      <c r="T144" s="161" t="s">
        <v>174</v>
      </c>
      <c r="U144" s="161" t="s">
        <v>73</v>
      </c>
      <c r="V144" s="21" t="s">
        <v>74</v>
      </c>
      <c r="W144" s="21" t="s">
        <v>3609</v>
      </c>
      <c r="X144" s="161" t="s">
        <v>3646</v>
      </c>
      <c r="Y144" s="161">
        <v>1.2940200000000001E-3</v>
      </c>
      <c r="AA144" s="161" t="s">
        <v>77</v>
      </c>
      <c r="AB144" s="161" t="s">
        <v>114</v>
      </c>
      <c r="AC144" s="266" t="str">
        <f>HYPERLINK("https://gcsvt.ru/svetodiodnyie-svetilniki/SVT-Str-DIRECT-6W-Ex-45/","Ссылка")</f>
        <v>Ссылка</v>
      </c>
      <c r="AD144" s="167">
        <v>9180</v>
      </c>
    </row>
    <row r="145" spans="1:30" s="161" customFormat="1" ht="39.950000000000003" hidden="1" customHeight="1" outlineLevel="2" x14ac:dyDescent="0.25">
      <c r="A145" s="21"/>
      <c r="B145" s="21" t="s">
        <v>3607</v>
      </c>
      <c r="C145" s="159" t="s">
        <v>3619</v>
      </c>
      <c r="D145" s="161">
        <v>876</v>
      </c>
      <c r="E145" s="161">
        <v>6</v>
      </c>
      <c r="F145" s="161">
        <v>146</v>
      </c>
      <c r="G145" s="161" t="s">
        <v>3796</v>
      </c>
      <c r="H145" s="161" t="s">
        <v>1812</v>
      </c>
      <c r="I145" s="161">
        <v>66</v>
      </c>
      <c r="J145" s="161" t="s">
        <v>389</v>
      </c>
      <c r="K145" s="21" t="s">
        <v>106</v>
      </c>
      <c r="L145" s="161" t="s">
        <v>3380</v>
      </c>
      <c r="M145" s="21" t="s">
        <v>2107</v>
      </c>
      <c r="N145" s="161" t="s">
        <v>67</v>
      </c>
      <c r="O145" s="21" t="s">
        <v>1553</v>
      </c>
      <c r="P145" s="161" t="s">
        <v>109</v>
      </c>
      <c r="Q145" s="21" t="s">
        <v>70</v>
      </c>
      <c r="R145" s="161">
        <v>70</v>
      </c>
      <c r="S145" s="161" t="s">
        <v>3143</v>
      </c>
      <c r="T145" s="161" t="s">
        <v>174</v>
      </c>
      <c r="U145" s="161" t="s">
        <v>73</v>
      </c>
      <c r="V145" s="21" t="s">
        <v>74</v>
      </c>
      <c r="W145" s="21" t="s">
        <v>3609</v>
      </c>
      <c r="X145" s="161" t="s">
        <v>3646</v>
      </c>
      <c r="Y145" s="161">
        <v>1.2940200000000001E-3</v>
      </c>
      <c r="AA145" s="161" t="s">
        <v>77</v>
      </c>
      <c r="AB145" s="161" t="s">
        <v>114</v>
      </c>
      <c r="AC145" s="266" t="str">
        <f>HYPERLINK("https://gcsvt.ru/svetodiodnyie-svetilniki/SVT-Str-DIRECT-6W-Ex-10x60/","Ссылка")</f>
        <v>Ссылка</v>
      </c>
      <c r="AD145" s="167">
        <v>9180</v>
      </c>
    </row>
    <row r="146" spans="1:30" s="161" customFormat="1" ht="39.950000000000003" hidden="1" customHeight="1" outlineLevel="2" x14ac:dyDescent="0.25">
      <c r="A146" s="21"/>
      <c r="B146" s="21" t="s">
        <v>3607</v>
      </c>
      <c r="C146" s="159" t="s">
        <v>3620</v>
      </c>
      <c r="D146" s="161">
        <v>1752</v>
      </c>
      <c r="E146" s="161">
        <v>12</v>
      </c>
      <c r="F146" s="161">
        <v>146</v>
      </c>
      <c r="G146" s="161" t="s">
        <v>3797</v>
      </c>
      <c r="H146" s="161" t="s">
        <v>3123</v>
      </c>
      <c r="I146" s="161">
        <v>66</v>
      </c>
      <c r="J146" s="161" t="s">
        <v>389</v>
      </c>
      <c r="K146" s="21" t="s">
        <v>106</v>
      </c>
      <c r="L146" s="161" t="s">
        <v>3380</v>
      </c>
      <c r="M146" s="21" t="s">
        <v>2107</v>
      </c>
      <c r="N146" s="161" t="s">
        <v>67</v>
      </c>
      <c r="O146" s="21" t="s">
        <v>1553</v>
      </c>
      <c r="P146" s="161" t="s">
        <v>109</v>
      </c>
      <c r="Q146" s="21" t="s">
        <v>70</v>
      </c>
      <c r="R146" s="161">
        <v>70</v>
      </c>
      <c r="S146" s="161" t="s">
        <v>1899</v>
      </c>
      <c r="T146" s="161" t="s">
        <v>174</v>
      </c>
      <c r="U146" s="161" t="s">
        <v>73</v>
      </c>
      <c r="V146" s="21" t="s">
        <v>74</v>
      </c>
      <c r="W146" s="21" t="s">
        <v>3609</v>
      </c>
      <c r="X146" s="161" t="s">
        <v>3647</v>
      </c>
      <c r="Y146" s="161">
        <v>2.5225199999999999E-3</v>
      </c>
      <c r="AA146" s="161" t="s">
        <v>77</v>
      </c>
      <c r="AB146" s="161" t="s">
        <v>114</v>
      </c>
      <c r="AC146" s="266" t="str">
        <f>HYPERLINK("https://gcsvt.ru/svetodiodnyie-svetilniki/SVT-Str-DIRECT-12W-Ex-8/","Ссылка")</f>
        <v>Ссылка</v>
      </c>
      <c r="AD146" s="167">
        <v>10787</v>
      </c>
    </row>
    <row r="147" spans="1:30" s="161" customFormat="1" ht="39.950000000000003" hidden="1" customHeight="1" outlineLevel="2" x14ac:dyDescent="0.25">
      <c r="A147" s="21"/>
      <c r="B147" s="21" t="s">
        <v>3607</v>
      </c>
      <c r="C147" s="159" t="s">
        <v>3621</v>
      </c>
      <c r="D147" s="161">
        <v>1752</v>
      </c>
      <c r="E147" s="161">
        <v>12</v>
      </c>
      <c r="F147" s="161">
        <v>146</v>
      </c>
      <c r="G147" s="161" t="s">
        <v>3798</v>
      </c>
      <c r="H147" s="161" t="s">
        <v>1805</v>
      </c>
      <c r="I147" s="161">
        <v>66</v>
      </c>
      <c r="J147" s="161" t="s">
        <v>389</v>
      </c>
      <c r="K147" s="21" t="s">
        <v>106</v>
      </c>
      <c r="L147" s="161" t="s">
        <v>3380</v>
      </c>
      <c r="M147" s="21" t="s">
        <v>2107</v>
      </c>
      <c r="N147" s="161" t="s">
        <v>67</v>
      </c>
      <c r="O147" s="21" t="s">
        <v>1553</v>
      </c>
      <c r="P147" s="161" t="s">
        <v>109</v>
      </c>
      <c r="Q147" s="21" t="s">
        <v>70</v>
      </c>
      <c r="R147" s="161">
        <v>70</v>
      </c>
      <c r="S147" s="161" t="s">
        <v>1899</v>
      </c>
      <c r="T147" s="161" t="s">
        <v>174</v>
      </c>
      <c r="U147" s="161" t="s">
        <v>73</v>
      </c>
      <c r="V147" s="21" t="s">
        <v>74</v>
      </c>
      <c r="W147" s="21" t="s">
        <v>3609</v>
      </c>
      <c r="X147" s="161" t="s">
        <v>3647</v>
      </c>
      <c r="Y147" s="161">
        <v>2.5225199999999999E-3</v>
      </c>
      <c r="AA147" s="161" t="s">
        <v>77</v>
      </c>
      <c r="AB147" s="161" t="s">
        <v>114</v>
      </c>
      <c r="AC147" s="266" t="str">
        <f>HYPERLINK("https://gcsvt.ru/svetodiodnyie-svetilniki/SVT-Str-DIRECT-12W-Ex-15/","Ссылка")</f>
        <v>Ссылка</v>
      </c>
      <c r="AD147" s="167">
        <v>10787</v>
      </c>
    </row>
    <row r="148" spans="1:30" s="161" customFormat="1" ht="39.950000000000003" hidden="1" customHeight="1" outlineLevel="2" x14ac:dyDescent="0.25">
      <c r="A148" s="21"/>
      <c r="B148" s="21" t="s">
        <v>3607</v>
      </c>
      <c r="C148" s="159" t="s">
        <v>3622</v>
      </c>
      <c r="D148" s="161">
        <v>1752</v>
      </c>
      <c r="E148" s="161">
        <v>12</v>
      </c>
      <c r="F148" s="161">
        <v>146</v>
      </c>
      <c r="G148" s="161" t="s">
        <v>3799</v>
      </c>
      <c r="H148" s="161" t="s">
        <v>1756</v>
      </c>
      <c r="I148" s="161">
        <v>66</v>
      </c>
      <c r="J148" s="161" t="s">
        <v>389</v>
      </c>
      <c r="K148" s="21" t="s">
        <v>106</v>
      </c>
      <c r="L148" s="161" t="s">
        <v>3380</v>
      </c>
      <c r="M148" s="21" t="s">
        <v>2107</v>
      </c>
      <c r="N148" s="161" t="s">
        <v>67</v>
      </c>
      <c r="O148" s="21" t="s">
        <v>1553</v>
      </c>
      <c r="P148" s="161" t="s">
        <v>109</v>
      </c>
      <c r="Q148" s="21" t="s">
        <v>70</v>
      </c>
      <c r="R148" s="161">
        <v>70</v>
      </c>
      <c r="S148" s="161" t="s">
        <v>1899</v>
      </c>
      <c r="T148" s="161" t="s">
        <v>174</v>
      </c>
      <c r="U148" s="161" t="s">
        <v>73</v>
      </c>
      <c r="V148" s="21" t="s">
        <v>74</v>
      </c>
      <c r="W148" s="21" t="s">
        <v>3609</v>
      </c>
      <c r="X148" s="161" t="s">
        <v>3647</v>
      </c>
      <c r="Y148" s="161">
        <v>2.5225199999999999E-3</v>
      </c>
      <c r="AA148" s="161" t="s">
        <v>77</v>
      </c>
      <c r="AB148" s="161" t="s">
        <v>114</v>
      </c>
      <c r="AC148" s="266" t="str">
        <f>HYPERLINK("https://gcsvt.ru/svetodiodnyie-svetilniki/SVT-Str-DIRECT-12W-Ex-25/","Ссылка")</f>
        <v>Ссылка</v>
      </c>
      <c r="AD148" s="167">
        <v>10787</v>
      </c>
    </row>
    <row r="149" spans="1:30" s="161" customFormat="1" ht="39.950000000000003" hidden="1" customHeight="1" outlineLevel="2" x14ac:dyDescent="0.25">
      <c r="A149" s="21"/>
      <c r="B149" s="21" t="s">
        <v>3607</v>
      </c>
      <c r="C149" s="159" t="s">
        <v>3623</v>
      </c>
      <c r="D149" s="161">
        <v>1752</v>
      </c>
      <c r="E149" s="161">
        <v>12</v>
      </c>
      <c r="F149" s="161">
        <v>146</v>
      </c>
      <c r="G149" s="161" t="s">
        <v>3800</v>
      </c>
      <c r="H149" s="161" t="s">
        <v>1577</v>
      </c>
      <c r="I149" s="161">
        <v>66</v>
      </c>
      <c r="J149" s="161" t="s">
        <v>389</v>
      </c>
      <c r="K149" s="21" t="s">
        <v>106</v>
      </c>
      <c r="L149" s="161" t="s">
        <v>3380</v>
      </c>
      <c r="M149" s="21" t="s">
        <v>2107</v>
      </c>
      <c r="N149" s="161" t="s">
        <v>67</v>
      </c>
      <c r="O149" s="21" t="s">
        <v>1553</v>
      </c>
      <c r="P149" s="161" t="s">
        <v>109</v>
      </c>
      <c r="Q149" s="21" t="s">
        <v>70</v>
      </c>
      <c r="R149" s="161">
        <v>70</v>
      </c>
      <c r="S149" s="161" t="s">
        <v>1899</v>
      </c>
      <c r="T149" s="161" t="s">
        <v>174</v>
      </c>
      <c r="U149" s="161" t="s">
        <v>73</v>
      </c>
      <c r="V149" s="21" t="s">
        <v>74</v>
      </c>
      <c r="W149" s="21" t="s">
        <v>3609</v>
      </c>
      <c r="X149" s="161" t="s">
        <v>3647</v>
      </c>
      <c r="Y149" s="161">
        <v>2.5225199999999999E-3</v>
      </c>
      <c r="AA149" s="161" t="s">
        <v>77</v>
      </c>
      <c r="AB149" s="161" t="s">
        <v>114</v>
      </c>
      <c r="AC149" s="266" t="str">
        <f>HYPERLINK("https://gcsvt.ru/svetodiodnyie-svetilniki/SVT-Str-DIRECT-12W-Ex-45/","Ссылка")</f>
        <v>Ссылка</v>
      </c>
      <c r="AD149" s="167">
        <v>10787</v>
      </c>
    </row>
    <row r="150" spans="1:30" s="161" customFormat="1" ht="39.950000000000003" hidden="1" customHeight="1" outlineLevel="2" x14ac:dyDescent="0.25">
      <c r="A150" s="21"/>
      <c r="B150" s="21" t="s">
        <v>3607</v>
      </c>
      <c r="C150" s="159" t="s">
        <v>3624</v>
      </c>
      <c r="D150" s="161">
        <v>1752</v>
      </c>
      <c r="E150" s="161">
        <v>12</v>
      </c>
      <c r="F150" s="161">
        <v>146</v>
      </c>
      <c r="G150" s="161" t="s">
        <v>3801</v>
      </c>
      <c r="H150" s="161" t="s">
        <v>1812</v>
      </c>
      <c r="I150" s="161">
        <v>66</v>
      </c>
      <c r="J150" s="161" t="s">
        <v>389</v>
      </c>
      <c r="K150" s="21" t="s">
        <v>106</v>
      </c>
      <c r="L150" s="161" t="s">
        <v>3380</v>
      </c>
      <c r="M150" s="21" t="s">
        <v>2107</v>
      </c>
      <c r="N150" s="161" t="s">
        <v>67</v>
      </c>
      <c r="O150" s="21" t="s">
        <v>1553</v>
      </c>
      <c r="P150" s="161" t="s">
        <v>109</v>
      </c>
      <c r="Q150" s="21" t="s">
        <v>70</v>
      </c>
      <c r="R150" s="161">
        <v>70</v>
      </c>
      <c r="S150" s="161" t="s">
        <v>1899</v>
      </c>
      <c r="T150" s="161" t="s">
        <v>174</v>
      </c>
      <c r="U150" s="161" t="s">
        <v>73</v>
      </c>
      <c r="V150" s="21" t="s">
        <v>74</v>
      </c>
      <c r="W150" s="21" t="s">
        <v>3609</v>
      </c>
      <c r="X150" s="161" t="s">
        <v>3647</v>
      </c>
      <c r="Y150" s="161">
        <v>2.5225199999999999E-3</v>
      </c>
      <c r="AA150" s="161" t="s">
        <v>77</v>
      </c>
      <c r="AB150" s="161" t="s">
        <v>114</v>
      </c>
      <c r="AC150" s="266" t="str">
        <f>HYPERLINK("https://gcsvt.ru/svetodiodnyie-svetilniki/SVT-Str-DIRECT-12W-Ex-10x60/","Ссылка")</f>
        <v>Ссылка</v>
      </c>
      <c r="AD150" s="167">
        <v>10787</v>
      </c>
    </row>
    <row r="151" spans="1:30" s="161" customFormat="1" ht="39.950000000000003" hidden="1" customHeight="1" outlineLevel="2" x14ac:dyDescent="0.25">
      <c r="A151" s="21"/>
      <c r="B151" s="21" t="s">
        <v>3607</v>
      </c>
      <c r="C151" s="159" t="s">
        <v>3625</v>
      </c>
      <c r="D151" s="161">
        <v>3670</v>
      </c>
      <c r="E151" s="161">
        <v>24</v>
      </c>
      <c r="F151" s="161">
        <v>153</v>
      </c>
      <c r="G151" s="161" t="s">
        <v>3802</v>
      </c>
      <c r="H151" s="161" t="s">
        <v>3123</v>
      </c>
      <c r="I151" s="161">
        <v>66</v>
      </c>
      <c r="J151" s="161" t="s">
        <v>389</v>
      </c>
      <c r="K151" s="21" t="s">
        <v>106</v>
      </c>
      <c r="L151" s="161" t="s">
        <v>3380</v>
      </c>
      <c r="M151" s="21" t="s">
        <v>2107</v>
      </c>
      <c r="N151" s="161" t="s">
        <v>67</v>
      </c>
      <c r="O151" s="21" t="s">
        <v>1553</v>
      </c>
      <c r="P151" s="161" t="s">
        <v>109</v>
      </c>
      <c r="Q151" s="21" t="s">
        <v>70</v>
      </c>
      <c r="R151" s="161">
        <v>70</v>
      </c>
      <c r="S151" s="161" t="s">
        <v>1779</v>
      </c>
      <c r="T151" s="161" t="s">
        <v>174</v>
      </c>
      <c r="U151" s="161" t="s">
        <v>73</v>
      </c>
      <c r="V151" s="21" t="s">
        <v>74</v>
      </c>
      <c r="W151" s="21" t="s">
        <v>3609</v>
      </c>
      <c r="X151" s="161" t="s">
        <v>3648</v>
      </c>
      <c r="Y151" s="161">
        <v>4.9795200000000003E-3</v>
      </c>
      <c r="AA151" s="161" t="s">
        <v>77</v>
      </c>
      <c r="AB151" s="161" t="s">
        <v>114</v>
      </c>
      <c r="AC151" s="266" t="str">
        <f>HYPERLINK("https://gcsvt.ru/svetodiodnyie-svetilniki/SVT-Str-DIRECT-24W-Ex-8/","Ссылка")</f>
        <v>Ссылка</v>
      </c>
      <c r="AD151" s="167">
        <v>13311</v>
      </c>
    </row>
    <row r="152" spans="1:30" s="161" customFormat="1" ht="39.950000000000003" hidden="1" customHeight="1" outlineLevel="2" x14ac:dyDescent="0.25">
      <c r="A152" s="21"/>
      <c r="B152" s="21" t="s">
        <v>3607</v>
      </c>
      <c r="C152" s="159" t="s">
        <v>3626</v>
      </c>
      <c r="D152" s="161">
        <v>3670</v>
      </c>
      <c r="E152" s="161">
        <v>24</v>
      </c>
      <c r="F152" s="161">
        <v>153</v>
      </c>
      <c r="G152" s="161" t="s">
        <v>3803</v>
      </c>
      <c r="H152" s="161" t="s">
        <v>1805</v>
      </c>
      <c r="I152" s="161">
        <v>66</v>
      </c>
      <c r="J152" s="161" t="s">
        <v>389</v>
      </c>
      <c r="K152" s="21" t="s">
        <v>106</v>
      </c>
      <c r="L152" s="161" t="s">
        <v>3380</v>
      </c>
      <c r="M152" s="21" t="s">
        <v>2107</v>
      </c>
      <c r="N152" s="161" t="s">
        <v>67</v>
      </c>
      <c r="O152" s="21" t="s">
        <v>1553</v>
      </c>
      <c r="P152" s="161" t="s">
        <v>109</v>
      </c>
      <c r="Q152" s="21" t="s">
        <v>70</v>
      </c>
      <c r="R152" s="161">
        <v>70</v>
      </c>
      <c r="S152" s="161" t="s">
        <v>1779</v>
      </c>
      <c r="T152" s="161" t="s">
        <v>174</v>
      </c>
      <c r="U152" s="161" t="s">
        <v>73</v>
      </c>
      <c r="V152" s="21" t="s">
        <v>74</v>
      </c>
      <c r="W152" s="21" t="s">
        <v>3609</v>
      </c>
      <c r="X152" s="161" t="s">
        <v>3648</v>
      </c>
      <c r="Y152" s="161">
        <v>4.9795200000000003E-3</v>
      </c>
      <c r="AA152" s="161" t="s">
        <v>77</v>
      </c>
      <c r="AB152" s="161" t="s">
        <v>114</v>
      </c>
      <c r="AC152" s="266" t="str">
        <f>HYPERLINK("https://gcsvt.ru/svetodiodnyie-svetilniki/SVT-Str-DIRECT-24W-Ex-15/","Ссылка")</f>
        <v>Ссылка</v>
      </c>
      <c r="AD152" s="167">
        <v>13311</v>
      </c>
    </row>
    <row r="153" spans="1:30" s="161" customFormat="1" ht="39.950000000000003" hidden="1" customHeight="1" outlineLevel="2" x14ac:dyDescent="0.25">
      <c r="A153" s="21"/>
      <c r="B153" s="21" t="s">
        <v>3607</v>
      </c>
      <c r="C153" s="159" t="s">
        <v>3627</v>
      </c>
      <c r="D153" s="161">
        <v>3670</v>
      </c>
      <c r="E153" s="161">
        <v>24</v>
      </c>
      <c r="F153" s="161">
        <v>153</v>
      </c>
      <c r="G153" s="161" t="s">
        <v>3804</v>
      </c>
      <c r="H153" s="161" t="s">
        <v>1756</v>
      </c>
      <c r="I153" s="161">
        <v>66</v>
      </c>
      <c r="J153" s="161" t="s">
        <v>389</v>
      </c>
      <c r="K153" s="21" t="s">
        <v>106</v>
      </c>
      <c r="L153" s="161" t="s">
        <v>3380</v>
      </c>
      <c r="M153" s="21" t="s">
        <v>2107</v>
      </c>
      <c r="N153" s="161" t="s">
        <v>67</v>
      </c>
      <c r="O153" s="21" t="s">
        <v>1553</v>
      </c>
      <c r="P153" s="161" t="s">
        <v>109</v>
      </c>
      <c r="Q153" s="21" t="s">
        <v>70</v>
      </c>
      <c r="R153" s="161">
        <v>70</v>
      </c>
      <c r="S153" s="161" t="s">
        <v>1779</v>
      </c>
      <c r="T153" s="161" t="s">
        <v>174</v>
      </c>
      <c r="U153" s="161" t="s">
        <v>73</v>
      </c>
      <c r="V153" s="21" t="s">
        <v>74</v>
      </c>
      <c r="W153" s="21" t="s">
        <v>3609</v>
      </c>
      <c r="X153" s="161" t="s">
        <v>3648</v>
      </c>
      <c r="Y153" s="161">
        <v>4.9795200000000003E-3</v>
      </c>
      <c r="AA153" s="161" t="s">
        <v>77</v>
      </c>
      <c r="AB153" s="161" t="s">
        <v>114</v>
      </c>
      <c r="AC153" s="266" t="str">
        <f>HYPERLINK("https://gcsvt.ru/svetodiodnyie-svetilniki/SVT-Str-DIRECT-24W-Ex-25/","Ссылка")</f>
        <v>Ссылка</v>
      </c>
      <c r="AD153" s="167">
        <v>13311</v>
      </c>
    </row>
    <row r="154" spans="1:30" s="161" customFormat="1" ht="39.950000000000003" hidden="1" customHeight="1" outlineLevel="2" x14ac:dyDescent="0.25">
      <c r="A154" s="21"/>
      <c r="B154" s="21" t="s">
        <v>3607</v>
      </c>
      <c r="C154" s="159" t="s">
        <v>3628</v>
      </c>
      <c r="D154" s="161">
        <v>3670</v>
      </c>
      <c r="E154" s="161">
        <v>24</v>
      </c>
      <c r="F154" s="161">
        <v>153</v>
      </c>
      <c r="G154" s="161" t="s">
        <v>3805</v>
      </c>
      <c r="H154" s="161" t="s">
        <v>1577</v>
      </c>
      <c r="I154" s="161">
        <v>66</v>
      </c>
      <c r="J154" s="161" t="s">
        <v>389</v>
      </c>
      <c r="K154" s="21" t="s">
        <v>106</v>
      </c>
      <c r="L154" s="161" t="s">
        <v>3380</v>
      </c>
      <c r="M154" s="21" t="s">
        <v>2107</v>
      </c>
      <c r="N154" s="161" t="s">
        <v>67</v>
      </c>
      <c r="O154" s="21" t="s">
        <v>1553</v>
      </c>
      <c r="P154" s="161" t="s">
        <v>109</v>
      </c>
      <c r="Q154" s="21" t="s">
        <v>70</v>
      </c>
      <c r="R154" s="161">
        <v>70</v>
      </c>
      <c r="S154" s="161" t="s">
        <v>1779</v>
      </c>
      <c r="T154" s="161" t="s">
        <v>174</v>
      </c>
      <c r="U154" s="161" t="s">
        <v>73</v>
      </c>
      <c r="V154" s="21" t="s">
        <v>74</v>
      </c>
      <c r="W154" s="21" t="s">
        <v>3609</v>
      </c>
      <c r="X154" s="161" t="s">
        <v>3648</v>
      </c>
      <c r="Y154" s="161">
        <v>4.9795200000000003E-3</v>
      </c>
      <c r="AA154" s="161" t="s">
        <v>77</v>
      </c>
      <c r="AB154" s="161" t="s">
        <v>114</v>
      </c>
      <c r="AC154" s="266" t="str">
        <f>HYPERLINK("https://gcsvt.ru/svetodiodnyie-svetilniki/SVT-Str-DIRECT-24W-Ex-45/","Ссылка")</f>
        <v>Ссылка</v>
      </c>
      <c r="AD154" s="167">
        <v>13311</v>
      </c>
    </row>
    <row r="155" spans="1:30" s="161" customFormat="1" ht="39.950000000000003" hidden="1" customHeight="1" outlineLevel="2" x14ac:dyDescent="0.25">
      <c r="A155" s="21"/>
      <c r="B155" s="21" t="s">
        <v>3607</v>
      </c>
      <c r="C155" s="159" t="s">
        <v>3629</v>
      </c>
      <c r="D155" s="161">
        <v>3670</v>
      </c>
      <c r="E155" s="161">
        <v>24</v>
      </c>
      <c r="F155" s="161">
        <v>153</v>
      </c>
      <c r="G155" s="161" t="s">
        <v>3806</v>
      </c>
      <c r="H155" s="161" t="s">
        <v>1812</v>
      </c>
      <c r="I155" s="161">
        <v>66</v>
      </c>
      <c r="J155" s="161" t="s">
        <v>389</v>
      </c>
      <c r="K155" s="21" t="s">
        <v>106</v>
      </c>
      <c r="L155" s="161" t="s">
        <v>3380</v>
      </c>
      <c r="M155" s="21" t="s">
        <v>2107</v>
      </c>
      <c r="N155" s="161" t="s">
        <v>67</v>
      </c>
      <c r="O155" s="21" t="s">
        <v>1553</v>
      </c>
      <c r="P155" s="161" t="s">
        <v>109</v>
      </c>
      <c r="Q155" s="21" t="s">
        <v>70</v>
      </c>
      <c r="R155" s="161">
        <v>70</v>
      </c>
      <c r="S155" s="161" t="s">
        <v>1779</v>
      </c>
      <c r="T155" s="161" t="s">
        <v>174</v>
      </c>
      <c r="U155" s="161" t="s">
        <v>73</v>
      </c>
      <c r="V155" s="21" t="s">
        <v>74</v>
      </c>
      <c r="W155" s="21" t="s">
        <v>3609</v>
      </c>
      <c r="X155" s="161" t="s">
        <v>3648</v>
      </c>
      <c r="Y155" s="161">
        <v>4.9795200000000003E-3</v>
      </c>
      <c r="AA155" s="161" t="s">
        <v>77</v>
      </c>
      <c r="AB155" s="161" t="s">
        <v>114</v>
      </c>
      <c r="AC155" s="266" t="str">
        <f>HYPERLINK("https://gcsvt.ru/svetodiodnyie-svetilniki/SVT-Str-DIRECT-24W-Ex-10x60/","Ссылка")</f>
        <v>Ссылка</v>
      </c>
      <c r="AD155" s="167">
        <v>13311</v>
      </c>
    </row>
    <row r="156" spans="1:30" s="161" customFormat="1" ht="39.950000000000003" hidden="1" customHeight="1" outlineLevel="2" x14ac:dyDescent="0.25">
      <c r="A156" s="21"/>
      <c r="B156" s="21" t="s">
        <v>3607</v>
      </c>
      <c r="C156" s="159" t="s">
        <v>3630</v>
      </c>
      <c r="D156" s="161">
        <v>5500</v>
      </c>
      <c r="E156" s="161">
        <v>36</v>
      </c>
      <c r="F156" s="161">
        <v>153</v>
      </c>
      <c r="G156" s="161" t="s">
        <v>3807</v>
      </c>
      <c r="H156" s="161" t="s">
        <v>3123</v>
      </c>
      <c r="I156" s="161">
        <v>66</v>
      </c>
      <c r="J156" s="161" t="s">
        <v>389</v>
      </c>
      <c r="K156" s="21" t="s">
        <v>106</v>
      </c>
      <c r="L156" s="161" t="s">
        <v>3380</v>
      </c>
      <c r="M156" s="21" t="s">
        <v>2107</v>
      </c>
      <c r="N156" s="161" t="s">
        <v>67</v>
      </c>
      <c r="O156" s="21" t="s">
        <v>1553</v>
      </c>
      <c r="P156" s="161" t="s">
        <v>109</v>
      </c>
      <c r="Q156" s="21" t="s">
        <v>70</v>
      </c>
      <c r="R156" s="161">
        <v>70</v>
      </c>
      <c r="S156" s="161" t="s">
        <v>1816</v>
      </c>
      <c r="T156" s="161" t="s">
        <v>174</v>
      </c>
      <c r="U156" s="161" t="s">
        <v>73</v>
      </c>
      <c r="V156" s="21" t="s">
        <v>74</v>
      </c>
      <c r="W156" s="21" t="s">
        <v>3609</v>
      </c>
      <c r="X156" s="161" t="s">
        <v>3649</v>
      </c>
      <c r="Y156" s="161">
        <v>7.4365200000000003E-3</v>
      </c>
      <c r="AA156" s="161" t="s">
        <v>77</v>
      </c>
      <c r="AB156" s="161" t="s">
        <v>114</v>
      </c>
      <c r="AC156" s="266" t="str">
        <f>HYPERLINK("https://gcsvt.ru/svetodiodnyie-svetilniki/SVT-Str-DIRECT-36W-Ex-8/","Ссылка")</f>
        <v>Ссылка</v>
      </c>
      <c r="AD156" s="167">
        <v>16295</v>
      </c>
    </row>
    <row r="157" spans="1:30" s="161" customFormat="1" ht="39.950000000000003" hidden="1" customHeight="1" outlineLevel="2" x14ac:dyDescent="0.25">
      <c r="A157" s="21"/>
      <c r="B157" s="21" t="s">
        <v>3607</v>
      </c>
      <c r="C157" s="159" t="s">
        <v>3631</v>
      </c>
      <c r="D157" s="161">
        <v>5500</v>
      </c>
      <c r="E157" s="161">
        <v>36</v>
      </c>
      <c r="F157" s="161">
        <v>153</v>
      </c>
      <c r="G157" s="161" t="s">
        <v>3808</v>
      </c>
      <c r="H157" s="161" t="s">
        <v>1805</v>
      </c>
      <c r="I157" s="161">
        <v>66</v>
      </c>
      <c r="J157" s="161" t="s">
        <v>389</v>
      </c>
      <c r="K157" s="21" t="s">
        <v>106</v>
      </c>
      <c r="L157" s="161" t="s">
        <v>3380</v>
      </c>
      <c r="M157" s="21" t="s">
        <v>2107</v>
      </c>
      <c r="N157" s="161" t="s">
        <v>67</v>
      </c>
      <c r="O157" s="21" t="s">
        <v>1553</v>
      </c>
      <c r="P157" s="161" t="s">
        <v>109</v>
      </c>
      <c r="Q157" s="21" t="s">
        <v>70</v>
      </c>
      <c r="R157" s="161">
        <v>70</v>
      </c>
      <c r="S157" s="161" t="s">
        <v>1816</v>
      </c>
      <c r="T157" s="161" t="s">
        <v>174</v>
      </c>
      <c r="U157" s="161" t="s">
        <v>73</v>
      </c>
      <c r="V157" s="21" t="s">
        <v>74</v>
      </c>
      <c r="W157" s="21" t="s">
        <v>3609</v>
      </c>
      <c r="X157" s="161" t="s">
        <v>3649</v>
      </c>
      <c r="Y157" s="161">
        <v>7.4365200000000003E-3</v>
      </c>
      <c r="AA157" s="161" t="s">
        <v>77</v>
      </c>
      <c r="AB157" s="161" t="s">
        <v>114</v>
      </c>
      <c r="AC157" s="266" t="str">
        <f>HYPERLINK("https://gcsvt.ru/svetodiodnyie-svetilniki/SVT-Str-DIRECT-36W-Ex-15/","Ссылка")</f>
        <v>Ссылка</v>
      </c>
      <c r="AD157" s="167">
        <v>16295</v>
      </c>
    </row>
    <row r="158" spans="1:30" s="161" customFormat="1" ht="39.950000000000003" hidden="1" customHeight="1" outlineLevel="2" x14ac:dyDescent="0.25">
      <c r="A158" s="21"/>
      <c r="B158" s="21" t="s">
        <v>3607</v>
      </c>
      <c r="C158" s="159" t="s">
        <v>3632</v>
      </c>
      <c r="D158" s="161">
        <v>5500</v>
      </c>
      <c r="E158" s="161">
        <v>36</v>
      </c>
      <c r="F158" s="161">
        <v>153</v>
      </c>
      <c r="G158" s="161" t="s">
        <v>3809</v>
      </c>
      <c r="H158" s="161" t="s">
        <v>1756</v>
      </c>
      <c r="I158" s="161">
        <v>66</v>
      </c>
      <c r="J158" s="161" t="s">
        <v>389</v>
      </c>
      <c r="K158" s="21" t="s">
        <v>106</v>
      </c>
      <c r="L158" s="161" t="s">
        <v>3380</v>
      </c>
      <c r="M158" s="21" t="s">
        <v>2107</v>
      </c>
      <c r="N158" s="161" t="s">
        <v>67</v>
      </c>
      <c r="O158" s="21" t="s">
        <v>1553</v>
      </c>
      <c r="P158" s="161" t="s">
        <v>109</v>
      </c>
      <c r="Q158" s="21" t="s">
        <v>70</v>
      </c>
      <c r="R158" s="161">
        <v>70</v>
      </c>
      <c r="S158" s="161" t="s">
        <v>1816</v>
      </c>
      <c r="T158" s="161" t="s">
        <v>174</v>
      </c>
      <c r="U158" s="161" t="s">
        <v>73</v>
      </c>
      <c r="V158" s="21" t="s">
        <v>74</v>
      </c>
      <c r="W158" s="21" t="s">
        <v>3609</v>
      </c>
      <c r="X158" s="161" t="s">
        <v>3649</v>
      </c>
      <c r="Y158" s="161">
        <v>7.4365200000000003E-3</v>
      </c>
      <c r="AA158" s="161" t="s">
        <v>77</v>
      </c>
      <c r="AB158" s="161" t="s">
        <v>114</v>
      </c>
      <c r="AC158" s="266" t="str">
        <f>HYPERLINK("https://gcsvt.ru/svetodiodnyie-svetilniki/SVT-Str-DIRECT-36W-Ex-25/","Ссылка")</f>
        <v>Ссылка</v>
      </c>
      <c r="AD158" s="167">
        <v>16295</v>
      </c>
    </row>
    <row r="159" spans="1:30" s="161" customFormat="1" ht="39.950000000000003" hidden="1" customHeight="1" outlineLevel="2" x14ac:dyDescent="0.25">
      <c r="A159" s="21"/>
      <c r="B159" s="21" t="s">
        <v>3607</v>
      </c>
      <c r="C159" s="159" t="s">
        <v>3633</v>
      </c>
      <c r="D159" s="161">
        <v>5500</v>
      </c>
      <c r="E159" s="161">
        <v>36</v>
      </c>
      <c r="F159" s="161">
        <v>153</v>
      </c>
      <c r="G159" s="161" t="s">
        <v>3810</v>
      </c>
      <c r="H159" s="161" t="s">
        <v>1577</v>
      </c>
      <c r="I159" s="161">
        <v>66</v>
      </c>
      <c r="J159" s="161" t="s">
        <v>389</v>
      </c>
      <c r="K159" s="21" t="s">
        <v>106</v>
      </c>
      <c r="L159" s="161" t="s">
        <v>3380</v>
      </c>
      <c r="M159" s="21" t="s">
        <v>2107</v>
      </c>
      <c r="N159" s="161" t="s">
        <v>67</v>
      </c>
      <c r="O159" s="21" t="s">
        <v>1553</v>
      </c>
      <c r="P159" s="161" t="s">
        <v>109</v>
      </c>
      <c r="Q159" s="21" t="s">
        <v>70</v>
      </c>
      <c r="R159" s="161">
        <v>70</v>
      </c>
      <c r="S159" s="161" t="s">
        <v>1816</v>
      </c>
      <c r="T159" s="161" t="s">
        <v>174</v>
      </c>
      <c r="U159" s="161" t="s">
        <v>73</v>
      </c>
      <c r="V159" s="21" t="s">
        <v>74</v>
      </c>
      <c r="W159" s="21" t="s">
        <v>3609</v>
      </c>
      <c r="X159" s="161" t="s">
        <v>3649</v>
      </c>
      <c r="Y159" s="161">
        <v>7.4365200000000003E-3</v>
      </c>
      <c r="AA159" s="161" t="s">
        <v>77</v>
      </c>
      <c r="AB159" s="161" t="s">
        <v>114</v>
      </c>
      <c r="AC159" s="266" t="str">
        <f>HYPERLINK("https://gcsvt.ru/svetodiodnyie-svetilniki/SVT-Str-DIRECT-36W-Ex-45/","Ссылка")</f>
        <v>Ссылка</v>
      </c>
      <c r="AD159" s="167">
        <v>16295</v>
      </c>
    </row>
    <row r="160" spans="1:30" s="161" customFormat="1" ht="39.950000000000003" hidden="1" customHeight="1" outlineLevel="2" x14ac:dyDescent="0.25">
      <c r="A160" s="21"/>
      <c r="B160" s="21" t="s">
        <v>3607</v>
      </c>
      <c r="C160" s="159" t="s">
        <v>3634</v>
      </c>
      <c r="D160" s="161">
        <v>5500</v>
      </c>
      <c r="E160" s="161">
        <v>36</v>
      </c>
      <c r="F160" s="161">
        <v>153</v>
      </c>
      <c r="G160" s="161" t="s">
        <v>3811</v>
      </c>
      <c r="H160" s="161" t="s">
        <v>1812</v>
      </c>
      <c r="I160" s="161">
        <v>66</v>
      </c>
      <c r="J160" s="161" t="s">
        <v>389</v>
      </c>
      <c r="K160" s="21" t="s">
        <v>106</v>
      </c>
      <c r="L160" s="161" t="s">
        <v>3380</v>
      </c>
      <c r="M160" s="21" t="s">
        <v>2107</v>
      </c>
      <c r="N160" s="161" t="s">
        <v>67</v>
      </c>
      <c r="O160" s="21" t="s">
        <v>1553</v>
      </c>
      <c r="P160" s="161" t="s">
        <v>109</v>
      </c>
      <c r="Q160" s="21" t="s">
        <v>70</v>
      </c>
      <c r="R160" s="161">
        <v>70</v>
      </c>
      <c r="S160" s="161" t="s">
        <v>1816</v>
      </c>
      <c r="T160" s="161" t="s">
        <v>174</v>
      </c>
      <c r="U160" s="161" t="s">
        <v>73</v>
      </c>
      <c r="V160" s="21" t="s">
        <v>74</v>
      </c>
      <c r="W160" s="21" t="s">
        <v>3609</v>
      </c>
      <c r="X160" s="161" t="s">
        <v>3649</v>
      </c>
      <c r="Y160" s="161">
        <v>7.4365200000000003E-3</v>
      </c>
      <c r="AA160" s="161" t="s">
        <v>77</v>
      </c>
      <c r="AB160" s="161" t="s">
        <v>114</v>
      </c>
      <c r="AC160" s="266" t="str">
        <f>HYPERLINK("https://gcsvt.ru/svetodiodnyie-svetilniki/SVT-Str-DIRECT-36W-Ex-10x60/","Ссылка")</f>
        <v>Ссылка</v>
      </c>
      <c r="AD160" s="167">
        <v>16295</v>
      </c>
    </row>
    <row r="161" spans="1:30" s="161" customFormat="1" ht="39.950000000000003" hidden="1" customHeight="1" outlineLevel="2" x14ac:dyDescent="0.25">
      <c r="A161" s="21"/>
      <c r="B161" s="21" t="s">
        <v>3607</v>
      </c>
      <c r="C161" s="159" t="s">
        <v>3635</v>
      </c>
      <c r="D161" s="161">
        <v>7340</v>
      </c>
      <c r="E161" s="161">
        <v>50</v>
      </c>
      <c r="F161" s="161">
        <v>147</v>
      </c>
      <c r="G161" s="161" t="s">
        <v>3812</v>
      </c>
      <c r="H161" s="161" t="s">
        <v>3123</v>
      </c>
      <c r="I161" s="161">
        <v>66</v>
      </c>
      <c r="J161" s="161" t="s">
        <v>389</v>
      </c>
      <c r="K161" s="21" t="s">
        <v>106</v>
      </c>
      <c r="L161" s="161" t="s">
        <v>3380</v>
      </c>
      <c r="M161" s="21" t="s">
        <v>2107</v>
      </c>
      <c r="N161" s="161" t="s">
        <v>67</v>
      </c>
      <c r="O161" s="21" t="s">
        <v>1553</v>
      </c>
      <c r="P161" s="161" t="s">
        <v>109</v>
      </c>
      <c r="Q161" s="21" t="s">
        <v>70</v>
      </c>
      <c r="R161" s="161">
        <v>70</v>
      </c>
      <c r="S161" s="161" t="s">
        <v>1828</v>
      </c>
      <c r="T161" s="161" t="s">
        <v>174</v>
      </c>
      <c r="U161" s="161" t="s">
        <v>73</v>
      </c>
      <c r="V161" s="21" t="s">
        <v>74</v>
      </c>
      <c r="W161" s="21" t="s">
        <v>3609</v>
      </c>
      <c r="X161" s="161" t="s">
        <v>3650</v>
      </c>
      <c r="Y161" s="161">
        <v>9.8935199999999994E-3</v>
      </c>
      <c r="AA161" s="161" t="s">
        <v>77</v>
      </c>
      <c r="AB161" s="161" t="s">
        <v>114</v>
      </c>
      <c r="AC161" s="266" t="str">
        <f>HYPERLINK("https://gcsvt.ru/svetodiodnyie-svetilniki/SVT-Str-DIRECT-50W-Ex-8/","Ссылка")</f>
        <v>Ссылка</v>
      </c>
      <c r="AD161" s="167">
        <v>19278</v>
      </c>
    </row>
    <row r="162" spans="1:30" s="161" customFormat="1" ht="39.950000000000003" hidden="1" customHeight="1" outlineLevel="2" x14ac:dyDescent="0.25">
      <c r="A162" s="21"/>
      <c r="B162" s="21" t="s">
        <v>3607</v>
      </c>
      <c r="C162" s="159" t="s">
        <v>3636</v>
      </c>
      <c r="D162" s="161">
        <v>7340</v>
      </c>
      <c r="E162" s="161">
        <v>50</v>
      </c>
      <c r="F162" s="161">
        <v>147</v>
      </c>
      <c r="G162" s="161" t="s">
        <v>3813</v>
      </c>
      <c r="H162" s="161" t="s">
        <v>1805</v>
      </c>
      <c r="I162" s="161">
        <v>66</v>
      </c>
      <c r="J162" s="161" t="s">
        <v>389</v>
      </c>
      <c r="K162" s="21" t="s">
        <v>106</v>
      </c>
      <c r="L162" s="161" t="s">
        <v>3380</v>
      </c>
      <c r="M162" s="21" t="s">
        <v>2107</v>
      </c>
      <c r="N162" s="161" t="s">
        <v>67</v>
      </c>
      <c r="O162" s="21" t="s">
        <v>1553</v>
      </c>
      <c r="P162" s="161" t="s">
        <v>109</v>
      </c>
      <c r="Q162" s="21" t="s">
        <v>70</v>
      </c>
      <c r="R162" s="161">
        <v>70</v>
      </c>
      <c r="S162" s="161" t="s">
        <v>1828</v>
      </c>
      <c r="T162" s="161" t="s">
        <v>174</v>
      </c>
      <c r="U162" s="161" t="s">
        <v>73</v>
      </c>
      <c r="V162" s="21" t="s">
        <v>74</v>
      </c>
      <c r="W162" s="21" t="s">
        <v>3609</v>
      </c>
      <c r="X162" s="161" t="s">
        <v>3650</v>
      </c>
      <c r="Y162" s="161">
        <v>9.8935199999999994E-3</v>
      </c>
      <c r="AA162" s="161" t="s">
        <v>77</v>
      </c>
      <c r="AB162" s="161" t="s">
        <v>114</v>
      </c>
      <c r="AC162" s="266" t="str">
        <f>HYPERLINK("https://gcsvt.ru/svetodiodnyie-svetilniki/SVT-Str-DIRECT-50W-Ex-15/","Ссылка")</f>
        <v>Ссылка</v>
      </c>
      <c r="AD162" s="167">
        <v>19278</v>
      </c>
    </row>
    <row r="163" spans="1:30" s="161" customFormat="1" ht="39.950000000000003" hidden="1" customHeight="1" outlineLevel="2" x14ac:dyDescent="0.25">
      <c r="A163" s="21"/>
      <c r="B163" s="21" t="s">
        <v>3607</v>
      </c>
      <c r="C163" s="159" t="s">
        <v>3637</v>
      </c>
      <c r="D163" s="161">
        <v>7340</v>
      </c>
      <c r="E163" s="161">
        <v>50</v>
      </c>
      <c r="F163" s="161">
        <v>147</v>
      </c>
      <c r="G163" s="161" t="s">
        <v>3814</v>
      </c>
      <c r="H163" s="161" t="s">
        <v>1756</v>
      </c>
      <c r="I163" s="161">
        <v>66</v>
      </c>
      <c r="J163" s="161" t="s">
        <v>389</v>
      </c>
      <c r="K163" s="21" t="s">
        <v>106</v>
      </c>
      <c r="L163" s="161" t="s">
        <v>3380</v>
      </c>
      <c r="M163" s="21" t="s">
        <v>2107</v>
      </c>
      <c r="N163" s="161" t="s">
        <v>67</v>
      </c>
      <c r="O163" s="21" t="s">
        <v>1553</v>
      </c>
      <c r="P163" s="161" t="s">
        <v>109</v>
      </c>
      <c r="Q163" s="21" t="s">
        <v>70</v>
      </c>
      <c r="R163" s="161">
        <v>70</v>
      </c>
      <c r="S163" s="161" t="s">
        <v>1828</v>
      </c>
      <c r="T163" s="161" t="s">
        <v>174</v>
      </c>
      <c r="U163" s="161" t="s">
        <v>73</v>
      </c>
      <c r="V163" s="21" t="s">
        <v>74</v>
      </c>
      <c r="W163" s="21" t="s">
        <v>3609</v>
      </c>
      <c r="X163" s="161" t="s">
        <v>3650</v>
      </c>
      <c r="Y163" s="161">
        <v>9.8935199999999994E-3</v>
      </c>
      <c r="AA163" s="161" t="s">
        <v>77</v>
      </c>
      <c r="AB163" s="161" t="s">
        <v>114</v>
      </c>
      <c r="AC163" s="266" t="str">
        <f>HYPERLINK("https://gcsvt.ru/svetodiodnyie-svetilniki/SVT-Str-DIRECT-50W-Ex-25/","Ссылка")</f>
        <v>Ссылка</v>
      </c>
      <c r="AD163" s="167">
        <v>19278</v>
      </c>
    </row>
    <row r="164" spans="1:30" s="161" customFormat="1" ht="39.950000000000003" hidden="1" customHeight="1" outlineLevel="2" x14ac:dyDescent="0.25">
      <c r="A164" s="21"/>
      <c r="B164" s="21" t="s">
        <v>3607</v>
      </c>
      <c r="C164" s="159" t="s">
        <v>3638</v>
      </c>
      <c r="D164" s="161">
        <v>7340</v>
      </c>
      <c r="E164" s="161">
        <v>50</v>
      </c>
      <c r="F164" s="161">
        <v>147</v>
      </c>
      <c r="G164" s="161" t="s">
        <v>3815</v>
      </c>
      <c r="H164" s="161" t="s">
        <v>1577</v>
      </c>
      <c r="I164" s="161">
        <v>66</v>
      </c>
      <c r="J164" s="161" t="s">
        <v>389</v>
      </c>
      <c r="K164" s="21" t="s">
        <v>106</v>
      </c>
      <c r="L164" s="161" t="s">
        <v>3380</v>
      </c>
      <c r="M164" s="21" t="s">
        <v>2107</v>
      </c>
      <c r="N164" s="161" t="s">
        <v>67</v>
      </c>
      <c r="O164" s="21" t="s">
        <v>1553</v>
      </c>
      <c r="P164" s="161" t="s">
        <v>109</v>
      </c>
      <c r="Q164" s="21" t="s">
        <v>70</v>
      </c>
      <c r="R164" s="161">
        <v>70</v>
      </c>
      <c r="S164" s="161" t="s">
        <v>1828</v>
      </c>
      <c r="T164" s="161" t="s">
        <v>174</v>
      </c>
      <c r="U164" s="161" t="s">
        <v>73</v>
      </c>
      <c r="V164" s="21" t="s">
        <v>74</v>
      </c>
      <c r="W164" s="21" t="s">
        <v>3609</v>
      </c>
      <c r="X164" s="161" t="s">
        <v>3650</v>
      </c>
      <c r="Y164" s="161">
        <v>9.8935199999999994E-3</v>
      </c>
      <c r="AA164" s="161" t="s">
        <v>77</v>
      </c>
      <c r="AB164" s="161" t="s">
        <v>114</v>
      </c>
      <c r="AC164" s="266" t="str">
        <f>HYPERLINK("https://gcsvt.ru/svetodiodnyie-svetilniki/SVT-Str-DIRECT-50W-Ex-45/","Ссылка")</f>
        <v>Ссылка</v>
      </c>
      <c r="AD164" s="167">
        <v>19278</v>
      </c>
    </row>
    <row r="165" spans="1:30" s="161" customFormat="1" ht="39.950000000000003" hidden="1" customHeight="1" outlineLevel="2" x14ac:dyDescent="0.25">
      <c r="A165" s="21"/>
      <c r="B165" s="21" t="s">
        <v>3607</v>
      </c>
      <c r="C165" s="159" t="s">
        <v>3639</v>
      </c>
      <c r="D165" s="161">
        <v>7340</v>
      </c>
      <c r="E165" s="161">
        <v>50</v>
      </c>
      <c r="F165" s="161">
        <v>147</v>
      </c>
      <c r="G165" s="161" t="s">
        <v>3816</v>
      </c>
      <c r="H165" s="161" t="s">
        <v>1812</v>
      </c>
      <c r="I165" s="161">
        <v>66</v>
      </c>
      <c r="J165" s="161" t="s">
        <v>389</v>
      </c>
      <c r="K165" s="21" t="s">
        <v>106</v>
      </c>
      <c r="L165" s="161" t="s">
        <v>3380</v>
      </c>
      <c r="M165" s="21" t="s">
        <v>2107</v>
      </c>
      <c r="N165" s="161" t="s">
        <v>67</v>
      </c>
      <c r="O165" s="21" t="s">
        <v>1553</v>
      </c>
      <c r="P165" s="161" t="s">
        <v>109</v>
      </c>
      <c r="Q165" s="21" t="s">
        <v>70</v>
      </c>
      <c r="R165" s="161">
        <v>70</v>
      </c>
      <c r="S165" s="161" t="s">
        <v>1828</v>
      </c>
      <c r="T165" s="161" t="s">
        <v>174</v>
      </c>
      <c r="U165" s="161" t="s">
        <v>73</v>
      </c>
      <c r="V165" s="21" t="s">
        <v>74</v>
      </c>
      <c r="W165" s="21" t="s">
        <v>3609</v>
      </c>
      <c r="X165" s="161" t="s">
        <v>3650</v>
      </c>
      <c r="Y165" s="161">
        <v>9.8935199999999994E-3</v>
      </c>
      <c r="AA165" s="161" t="s">
        <v>77</v>
      </c>
      <c r="AB165" s="161" t="s">
        <v>114</v>
      </c>
      <c r="AC165" s="266" t="str">
        <f>HYPERLINK("https://gcsvt.ru/svetodiodnyie-svetilniki/SVT-Str-DIRECT-50W-Ex-10x60/","Ссылка")</f>
        <v>Ссылка</v>
      </c>
      <c r="AD165" s="167">
        <v>19278</v>
      </c>
    </row>
    <row r="166" spans="1:30" s="161" customFormat="1" ht="39.950000000000003" hidden="1" customHeight="1" outlineLevel="2" x14ac:dyDescent="0.25">
      <c r="A166" s="21"/>
      <c r="B166" s="21" t="s">
        <v>3607</v>
      </c>
      <c r="C166" s="159" t="s">
        <v>3640</v>
      </c>
      <c r="D166" s="161">
        <v>9180</v>
      </c>
      <c r="E166" s="161">
        <v>64</v>
      </c>
      <c r="F166" s="161">
        <v>143</v>
      </c>
      <c r="G166" s="161" t="s">
        <v>3817</v>
      </c>
      <c r="H166" s="161" t="s">
        <v>3123</v>
      </c>
      <c r="I166" s="161">
        <v>66</v>
      </c>
      <c r="J166" s="161" t="s">
        <v>389</v>
      </c>
      <c r="K166" s="21" t="s">
        <v>106</v>
      </c>
      <c r="L166" s="161" t="s">
        <v>3380</v>
      </c>
      <c r="M166" s="21" t="s">
        <v>2107</v>
      </c>
      <c r="N166" s="161" t="s">
        <v>67</v>
      </c>
      <c r="O166" s="21" t="s">
        <v>1553</v>
      </c>
      <c r="P166" s="161" t="s">
        <v>109</v>
      </c>
      <c r="Q166" s="21" t="s">
        <v>70</v>
      </c>
      <c r="R166" s="161">
        <v>70</v>
      </c>
      <c r="S166" s="161" t="s">
        <v>1839</v>
      </c>
      <c r="T166" s="161" t="s">
        <v>174</v>
      </c>
      <c r="U166" s="161" t="s">
        <v>73</v>
      </c>
      <c r="V166" s="21" t="s">
        <v>74</v>
      </c>
      <c r="W166" s="21" t="s">
        <v>3609</v>
      </c>
      <c r="X166" s="161" t="s">
        <v>3651</v>
      </c>
      <c r="Y166" s="161">
        <v>1.235052E-2</v>
      </c>
      <c r="AA166" s="161" t="s">
        <v>77</v>
      </c>
      <c r="AB166" s="161" t="s">
        <v>114</v>
      </c>
      <c r="AC166" s="266" t="str">
        <f>HYPERLINK("https://gcsvt.ru/svetodiodnyie-svetilniki/SVT-Str-DIRECT-64W-Ex-8/","Ссылка")</f>
        <v>Ссылка</v>
      </c>
      <c r="AD166" s="167">
        <v>22262</v>
      </c>
    </row>
    <row r="167" spans="1:30" s="161" customFormat="1" ht="39.950000000000003" hidden="1" customHeight="1" outlineLevel="2" x14ac:dyDescent="0.25">
      <c r="A167" s="21"/>
      <c r="B167" s="21" t="s">
        <v>3607</v>
      </c>
      <c r="C167" s="159" t="s">
        <v>3641</v>
      </c>
      <c r="D167" s="161">
        <v>9180</v>
      </c>
      <c r="E167" s="161">
        <v>64</v>
      </c>
      <c r="F167" s="161">
        <v>143</v>
      </c>
      <c r="G167" s="161" t="s">
        <v>3818</v>
      </c>
      <c r="H167" s="161" t="s">
        <v>1805</v>
      </c>
      <c r="I167" s="161">
        <v>66</v>
      </c>
      <c r="J167" s="161" t="s">
        <v>389</v>
      </c>
      <c r="K167" s="21" t="s">
        <v>106</v>
      </c>
      <c r="L167" s="161" t="s">
        <v>3380</v>
      </c>
      <c r="M167" s="21" t="s">
        <v>2107</v>
      </c>
      <c r="N167" s="161" t="s">
        <v>67</v>
      </c>
      <c r="O167" s="21" t="s">
        <v>1553</v>
      </c>
      <c r="P167" s="161" t="s">
        <v>109</v>
      </c>
      <c r="Q167" s="21" t="s">
        <v>70</v>
      </c>
      <c r="R167" s="161">
        <v>70</v>
      </c>
      <c r="S167" s="161" t="s">
        <v>1839</v>
      </c>
      <c r="T167" s="161" t="s">
        <v>174</v>
      </c>
      <c r="U167" s="161" t="s">
        <v>73</v>
      </c>
      <c r="V167" s="21" t="s">
        <v>74</v>
      </c>
      <c r="W167" s="21" t="s">
        <v>3609</v>
      </c>
      <c r="X167" s="161" t="s">
        <v>3651</v>
      </c>
      <c r="Y167" s="161">
        <v>1.235052E-2</v>
      </c>
      <c r="AA167" s="161" t="s">
        <v>77</v>
      </c>
      <c r="AB167" s="161" t="s">
        <v>114</v>
      </c>
      <c r="AC167" s="266" t="str">
        <f>HYPERLINK("https://gcsvt.ru/svetodiodnyie-svetilniki/SVT-Str-DIRECT-64W-Ex-15/","Ссылка")</f>
        <v>Ссылка</v>
      </c>
      <c r="AD167" s="167">
        <v>22262</v>
      </c>
    </row>
    <row r="168" spans="1:30" s="161" customFormat="1" ht="39.950000000000003" hidden="1" customHeight="1" outlineLevel="2" x14ac:dyDescent="0.25">
      <c r="A168" s="21"/>
      <c r="B168" s="21" t="s">
        <v>3607</v>
      </c>
      <c r="C168" s="159" t="s">
        <v>3642</v>
      </c>
      <c r="D168" s="161">
        <v>9180</v>
      </c>
      <c r="E168" s="161">
        <v>64</v>
      </c>
      <c r="F168" s="161">
        <v>143</v>
      </c>
      <c r="G168" s="161" t="s">
        <v>3819</v>
      </c>
      <c r="H168" s="161" t="s">
        <v>1756</v>
      </c>
      <c r="I168" s="161">
        <v>66</v>
      </c>
      <c r="J168" s="161" t="s">
        <v>389</v>
      </c>
      <c r="K168" s="21" t="s">
        <v>106</v>
      </c>
      <c r="L168" s="161" t="s">
        <v>3380</v>
      </c>
      <c r="M168" s="21" t="s">
        <v>2107</v>
      </c>
      <c r="N168" s="161" t="s">
        <v>67</v>
      </c>
      <c r="O168" s="21" t="s">
        <v>1553</v>
      </c>
      <c r="P168" s="161" t="s">
        <v>109</v>
      </c>
      <c r="Q168" s="21" t="s">
        <v>70</v>
      </c>
      <c r="R168" s="161">
        <v>70</v>
      </c>
      <c r="S168" s="161" t="s">
        <v>1839</v>
      </c>
      <c r="T168" s="161" t="s">
        <v>174</v>
      </c>
      <c r="U168" s="161" t="s">
        <v>73</v>
      </c>
      <c r="V168" s="21" t="s">
        <v>74</v>
      </c>
      <c r="W168" s="21" t="s">
        <v>3609</v>
      </c>
      <c r="X168" s="161" t="s">
        <v>3651</v>
      </c>
      <c r="Y168" s="161">
        <v>1.235052E-2</v>
      </c>
      <c r="AA168" s="161" t="s">
        <v>77</v>
      </c>
      <c r="AB168" s="161" t="s">
        <v>114</v>
      </c>
      <c r="AC168" s="266" t="str">
        <f>HYPERLINK("https://gcsvt.ru/svetodiodnyie-svetilniki/SVT-Str-DIRECT-64W-Ex-25/","Ссылка")</f>
        <v>Ссылка</v>
      </c>
      <c r="AD168" s="167">
        <v>22262</v>
      </c>
    </row>
    <row r="169" spans="1:30" s="161" customFormat="1" ht="39.950000000000003" hidden="1" customHeight="1" outlineLevel="2" x14ac:dyDescent="0.25">
      <c r="A169" s="21"/>
      <c r="B169" s="21" t="s">
        <v>3607</v>
      </c>
      <c r="C169" s="159" t="s">
        <v>3643</v>
      </c>
      <c r="D169" s="161">
        <v>9180</v>
      </c>
      <c r="E169" s="161">
        <v>64</v>
      </c>
      <c r="F169" s="161">
        <v>143</v>
      </c>
      <c r="G169" s="161" t="s">
        <v>3820</v>
      </c>
      <c r="H169" s="161" t="s">
        <v>1577</v>
      </c>
      <c r="I169" s="161">
        <v>66</v>
      </c>
      <c r="J169" s="161" t="s">
        <v>389</v>
      </c>
      <c r="K169" s="21" t="s">
        <v>106</v>
      </c>
      <c r="L169" s="161" t="s">
        <v>3380</v>
      </c>
      <c r="M169" s="21" t="s">
        <v>2107</v>
      </c>
      <c r="N169" s="161" t="s">
        <v>67</v>
      </c>
      <c r="O169" s="21" t="s">
        <v>1553</v>
      </c>
      <c r="P169" s="161" t="s">
        <v>109</v>
      </c>
      <c r="Q169" s="21" t="s">
        <v>70</v>
      </c>
      <c r="R169" s="161">
        <v>70</v>
      </c>
      <c r="S169" s="161" t="s">
        <v>1839</v>
      </c>
      <c r="T169" s="161" t="s">
        <v>174</v>
      </c>
      <c r="U169" s="161" t="s">
        <v>73</v>
      </c>
      <c r="V169" s="21" t="s">
        <v>74</v>
      </c>
      <c r="W169" s="21" t="s">
        <v>3609</v>
      </c>
      <c r="X169" s="161" t="s">
        <v>3651</v>
      </c>
      <c r="Y169" s="161">
        <v>1.235052E-2</v>
      </c>
      <c r="AA169" s="161" t="s">
        <v>77</v>
      </c>
      <c r="AB169" s="161" t="s">
        <v>114</v>
      </c>
      <c r="AC169" s="266" t="str">
        <f>HYPERLINK("https://gcsvt.ru/svetodiodnyie-svetilniki/SVT-Str-DIRECT-64W-Ex-45/","Ссылка")</f>
        <v>Ссылка</v>
      </c>
      <c r="AD169" s="167">
        <v>22262</v>
      </c>
    </row>
    <row r="170" spans="1:30" s="161" customFormat="1" ht="39.950000000000003" hidden="1" customHeight="1" outlineLevel="2" x14ac:dyDescent="0.25">
      <c r="A170" s="21"/>
      <c r="B170" s="21" t="s">
        <v>3607</v>
      </c>
      <c r="C170" s="159" t="s">
        <v>3644</v>
      </c>
      <c r="D170" s="161">
        <v>9180</v>
      </c>
      <c r="E170" s="161">
        <v>64</v>
      </c>
      <c r="F170" s="161">
        <v>143</v>
      </c>
      <c r="G170" s="161" t="s">
        <v>3821</v>
      </c>
      <c r="H170" s="161" t="s">
        <v>1812</v>
      </c>
      <c r="I170" s="161">
        <v>66</v>
      </c>
      <c r="J170" s="161" t="s">
        <v>389</v>
      </c>
      <c r="K170" s="21" t="s">
        <v>106</v>
      </c>
      <c r="L170" s="161" t="s">
        <v>3380</v>
      </c>
      <c r="M170" s="21" t="s">
        <v>2107</v>
      </c>
      <c r="N170" s="161" t="s">
        <v>67</v>
      </c>
      <c r="O170" s="21" t="s">
        <v>1553</v>
      </c>
      <c r="P170" s="161" t="s">
        <v>109</v>
      </c>
      <c r="Q170" s="21" t="s">
        <v>70</v>
      </c>
      <c r="R170" s="161">
        <v>70</v>
      </c>
      <c r="S170" s="161" t="s">
        <v>1839</v>
      </c>
      <c r="T170" s="161" t="s">
        <v>174</v>
      </c>
      <c r="U170" s="161" t="s">
        <v>73</v>
      </c>
      <c r="V170" s="21" t="s">
        <v>74</v>
      </c>
      <c r="W170" s="21" t="s">
        <v>3609</v>
      </c>
      <c r="X170" s="161" t="s">
        <v>3651</v>
      </c>
      <c r="Y170" s="161">
        <v>1.235052E-2</v>
      </c>
      <c r="AA170" s="161" t="s">
        <v>77</v>
      </c>
      <c r="AB170" s="161" t="s">
        <v>114</v>
      </c>
      <c r="AC170" s="266" t="str">
        <f>HYPERLINK("https://gcsvt.ru/svetodiodnyie-svetilniki/SVT-Str-DIRECT-64W-Ex-10x60/","Ссылка")</f>
        <v>Ссылка</v>
      </c>
      <c r="AD170" s="167">
        <v>22262</v>
      </c>
    </row>
    <row r="171" spans="1:30" s="161" customFormat="1" ht="39.950000000000003" hidden="1" customHeight="1" outlineLevel="1" x14ac:dyDescent="0.25">
      <c r="A171" s="21"/>
      <c r="B171" s="196" t="s">
        <v>3832</v>
      </c>
      <c r="C171" s="212"/>
      <c r="D171" s="213"/>
      <c r="K171" s="21"/>
      <c r="M171" s="21"/>
      <c r="O171" s="21"/>
      <c r="Q171" s="21"/>
      <c r="V171" s="21"/>
      <c r="W171" s="21"/>
      <c r="AC171" s="228"/>
      <c r="AD171" s="167"/>
    </row>
    <row r="172" spans="1:30" s="161" customFormat="1" ht="39.950000000000003" hidden="1" customHeight="1" outlineLevel="1" x14ac:dyDescent="0.25">
      <c r="A172" s="21"/>
      <c r="B172" s="21" t="s">
        <v>3830</v>
      </c>
      <c r="C172" s="159" t="s">
        <v>3828</v>
      </c>
      <c r="D172" s="161">
        <v>1839</v>
      </c>
      <c r="E172" s="161">
        <v>12</v>
      </c>
      <c r="F172" s="161">
        <v>153</v>
      </c>
      <c r="G172" s="161" t="s">
        <v>3842</v>
      </c>
      <c r="H172" s="161" t="s">
        <v>138</v>
      </c>
      <c r="I172" s="161">
        <v>66</v>
      </c>
      <c r="J172" s="161" t="s">
        <v>389</v>
      </c>
      <c r="K172" s="21" t="s">
        <v>106</v>
      </c>
      <c r="L172" s="161" t="s">
        <v>3380</v>
      </c>
      <c r="M172" s="21" t="s">
        <v>2107</v>
      </c>
      <c r="N172" s="161" t="s">
        <v>67</v>
      </c>
      <c r="O172" s="21" t="s">
        <v>3833</v>
      </c>
      <c r="P172" s="161" t="s">
        <v>109</v>
      </c>
      <c r="Q172" s="21" t="s">
        <v>70</v>
      </c>
      <c r="R172" s="161">
        <v>80</v>
      </c>
      <c r="S172" s="161" t="s">
        <v>1554</v>
      </c>
      <c r="T172" s="161" t="s">
        <v>1555</v>
      </c>
      <c r="U172" s="161" t="s">
        <v>73</v>
      </c>
      <c r="V172" s="21" t="s">
        <v>74</v>
      </c>
      <c r="W172" s="21" t="s">
        <v>3829</v>
      </c>
      <c r="X172" s="161" t="s">
        <v>3831</v>
      </c>
      <c r="AA172" s="161" t="s">
        <v>77</v>
      </c>
      <c r="AB172" s="161" t="s">
        <v>114</v>
      </c>
      <c r="AC172" s="266" t="str">
        <f>HYPERLINK("https://gcsvt.ru/svetodiodnyie-svetilniki/svt-str-direct-12w-ex-120-tab/","Ссылка")</f>
        <v>Ссылка</v>
      </c>
      <c r="AD172" s="167">
        <v>12512</v>
      </c>
    </row>
    <row r="173" spans="1:30" s="161" customFormat="1" ht="39.950000000000003" hidden="1" customHeight="1" outlineLevel="1" x14ac:dyDescent="0.25">
      <c r="A173" s="21"/>
      <c r="B173" s="253" t="s">
        <v>4498</v>
      </c>
      <c r="C173" s="254"/>
      <c r="D173" s="255"/>
      <c r="K173" s="21"/>
      <c r="M173" s="21"/>
      <c r="O173" s="21"/>
      <c r="Q173" s="21"/>
      <c r="V173" s="21"/>
      <c r="W173" s="21"/>
      <c r="AC173" s="228"/>
      <c r="AD173" s="167"/>
    </row>
    <row r="174" spans="1:30" s="161" customFormat="1" ht="39.950000000000003" customHeight="1" collapsed="1" x14ac:dyDescent="0.25">
      <c r="A174" s="158"/>
      <c r="B174" s="195" t="s">
        <v>4001</v>
      </c>
      <c r="C174" s="202"/>
      <c r="D174" s="163"/>
      <c r="E174" s="163"/>
      <c r="F174" s="163"/>
      <c r="G174" s="163"/>
      <c r="H174" s="163"/>
      <c r="I174" s="163"/>
      <c r="J174" s="163"/>
      <c r="K174" s="75"/>
      <c r="L174" s="163"/>
      <c r="M174" s="75"/>
      <c r="N174" s="163"/>
      <c r="O174" s="75"/>
      <c r="P174" s="163"/>
      <c r="Q174" s="75"/>
      <c r="R174" s="163"/>
      <c r="S174" s="163"/>
      <c r="T174" s="163"/>
      <c r="U174" s="163"/>
      <c r="V174" s="75"/>
      <c r="W174" s="75"/>
      <c r="X174" s="163"/>
      <c r="Y174" s="163"/>
      <c r="Z174" s="163"/>
      <c r="AA174" s="163"/>
      <c r="AB174" s="163"/>
      <c r="AC174" s="227"/>
      <c r="AD174" s="164"/>
    </row>
    <row r="175" spans="1:30" s="161" customFormat="1" ht="39.950000000000003" hidden="1" customHeight="1" outlineLevel="1" x14ac:dyDescent="0.25">
      <c r="A175" s="21"/>
      <c r="B175" s="21" t="s">
        <v>2852</v>
      </c>
      <c r="C175" s="159" t="s">
        <v>2853</v>
      </c>
      <c r="D175" s="161">
        <v>5217</v>
      </c>
      <c r="E175" s="161">
        <v>32</v>
      </c>
      <c r="F175" s="161">
        <v>163</v>
      </c>
      <c r="G175" s="161" t="s">
        <v>2862</v>
      </c>
      <c r="H175" s="161" t="s">
        <v>138</v>
      </c>
      <c r="I175" s="161">
        <v>67</v>
      </c>
      <c r="J175" s="161" t="s">
        <v>389</v>
      </c>
      <c r="K175" s="21" t="s">
        <v>106</v>
      </c>
      <c r="L175" s="161" t="s">
        <v>3380</v>
      </c>
      <c r="M175" s="21" t="s">
        <v>107</v>
      </c>
      <c r="N175" s="161" t="s">
        <v>108</v>
      </c>
      <c r="O175" s="21" t="s">
        <v>2856</v>
      </c>
      <c r="P175" s="161" t="s">
        <v>109</v>
      </c>
      <c r="Q175" s="21" t="s">
        <v>70</v>
      </c>
      <c r="R175" s="161">
        <v>80</v>
      </c>
      <c r="S175" s="161" t="s">
        <v>151</v>
      </c>
      <c r="T175" s="161" t="s">
        <v>569</v>
      </c>
      <c r="U175" s="161" t="s">
        <v>73</v>
      </c>
      <c r="V175" s="21" t="s">
        <v>74</v>
      </c>
      <c r="W175" s="21" t="s">
        <v>112</v>
      </c>
      <c r="X175" s="161" t="s">
        <v>2869</v>
      </c>
      <c r="Y175" s="161">
        <v>0.1</v>
      </c>
      <c r="Z175" s="161">
        <v>2</v>
      </c>
      <c r="AA175" s="161" t="s">
        <v>942</v>
      </c>
      <c r="AB175" s="161" t="s">
        <v>114</v>
      </c>
      <c r="AC175" s="266" t="str">
        <f>HYPERLINK("https://gcsvt.ru/svetodiodnyie-svetilniki/svt-str-mpb-32w/","Ссылка")</f>
        <v>Ссылка</v>
      </c>
      <c r="AD175" s="167">
        <v>8160</v>
      </c>
    </row>
    <row r="176" spans="1:30" s="161" customFormat="1" ht="39.950000000000003" hidden="1" customHeight="1" outlineLevel="1" x14ac:dyDescent="0.25">
      <c r="A176" s="21"/>
      <c r="B176" s="21" t="s">
        <v>2852</v>
      </c>
      <c r="C176" s="159" t="s">
        <v>2854</v>
      </c>
      <c r="D176" s="161">
        <v>8225</v>
      </c>
      <c r="E176" s="161">
        <v>48</v>
      </c>
      <c r="F176" s="161">
        <v>171</v>
      </c>
      <c r="G176" s="21" t="s">
        <v>2863</v>
      </c>
      <c r="H176" s="161" t="s">
        <v>138</v>
      </c>
      <c r="I176" s="161">
        <v>67</v>
      </c>
      <c r="J176" s="161" t="s">
        <v>389</v>
      </c>
      <c r="K176" s="21" t="s">
        <v>106</v>
      </c>
      <c r="L176" s="161" t="s">
        <v>3380</v>
      </c>
      <c r="M176" s="21" t="s">
        <v>107</v>
      </c>
      <c r="N176" s="161" t="s">
        <v>108</v>
      </c>
      <c r="O176" s="21" t="s">
        <v>2856</v>
      </c>
      <c r="P176" s="161" t="s">
        <v>109</v>
      </c>
      <c r="Q176" s="21" t="s">
        <v>70</v>
      </c>
      <c r="R176" s="161">
        <v>80</v>
      </c>
      <c r="S176" s="161" t="s">
        <v>155</v>
      </c>
      <c r="T176" s="161" t="s">
        <v>569</v>
      </c>
      <c r="U176" s="161" t="s">
        <v>73</v>
      </c>
      <c r="V176" s="21" t="s">
        <v>74</v>
      </c>
      <c r="W176" s="21" t="s">
        <v>112</v>
      </c>
      <c r="X176" s="161" t="s">
        <v>2868</v>
      </c>
      <c r="Y176" s="161">
        <v>0.1</v>
      </c>
      <c r="Z176" s="161">
        <v>2.8</v>
      </c>
      <c r="AA176" s="161" t="s">
        <v>942</v>
      </c>
      <c r="AB176" s="161" t="s">
        <v>114</v>
      </c>
      <c r="AC176" s="266" t="str">
        <f>HYPERLINK("https://gcsvt.ru/svetodiodnyie-svetilniki/svt-str-mpb-48w/","Ссылка")</f>
        <v>Ссылка</v>
      </c>
      <c r="AD176" s="167">
        <v>8755</v>
      </c>
    </row>
    <row r="177" spans="1:30" s="161" customFormat="1" ht="39.950000000000003" hidden="1" customHeight="1" outlineLevel="1" x14ac:dyDescent="0.25">
      <c r="A177" s="21"/>
      <c r="B177" s="21" t="s">
        <v>2852</v>
      </c>
      <c r="C177" s="159" t="s">
        <v>2855</v>
      </c>
      <c r="D177" s="161">
        <v>10532</v>
      </c>
      <c r="E177" s="161">
        <v>61</v>
      </c>
      <c r="F177" s="161">
        <v>172</v>
      </c>
      <c r="G177" s="161" t="s">
        <v>2864</v>
      </c>
      <c r="H177" s="161" t="s">
        <v>138</v>
      </c>
      <c r="I177" s="161">
        <v>67</v>
      </c>
      <c r="J177" s="161" t="s">
        <v>389</v>
      </c>
      <c r="K177" s="21" t="s">
        <v>106</v>
      </c>
      <c r="L177" s="161" t="s">
        <v>3380</v>
      </c>
      <c r="M177" s="21" t="s">
        <v>107</v>
      </c>
      <c r="N177" s="161" t="s">
        <v>108</v>
      </c>
      <c r="O177" s="21" t="s">
        <v>2856</v>
      </c>
      <c r="P177" s="161" t="s">
        <v>109</v>
      </c>
      <c r="Q177" s="21" t="s">
        <v>70</v>
      </c>
      <c r="R177" s="161">
        <v>80</v>
      </c>
      <c r="S177" s="161" t="s">
        <v>1312</v>
      </c>
      <c r="T177" s="161" t="s">
        <v>569</v>
      </c>
      <c r="U177" s="161" t="s">
        <v>73</v>
      </c>
      <c r="V177" s="21" t="s">
        <v>74</v>
      </c>
      <c r="W177" s="21" t="s">
        <v>112</v>
      </c>
      <c r="X177" s="161" t="s">
        <v>2871</v>
      </c>
      <c r="Y177" s="161">
        <v>0.1</v>
      </c>
      <c r="Z177" s="161">
        <v>3.2</v>
      </c>
      <c r="AA177" s="161" t="s">
        <v>942</v>
      </c>
      <c r="AB177" s="161" t="s">
        <v>114</v>
      </c>
      <c r="AC177" s="266" t="str">
        <f>HYPERLINK("https://gcsvt.ru/svetodiodnyie-svetilniki/svt-str-mpb-61w/","Ссылка")</f>
        <v>Ссылка</v>
      </c>
      <c r="AD177" s="167">
        <v>9376</v>
      </c>
    </row>
    <row r="178" spans="1:30" s="161" customFormat="1" ht="39.950000000000003" hidden="1" customHeight="1" outlineLevel="1" x14ac:dyDescent="0.25">
      <c r="A178" s="21"/>
      <c r="B178" s="21" t="s">
        <v>2852</v>
      </c>
      <c r="C178" s="159" t="s">
        <v>2866</v>
      </c>
      <c r="D178" s="161">
        <v>16450</v>
      </c>
      <c r="E178" s="161">
        <v>96</v>
      </c>
      <c r="F178" s="161">
        <v>171</v>
      </c>
      <c r="G178" s="161" t="s">
        <v>2865</v>
      </c>
      <c r="H178" s="161" t="s">
        <v>138</v>
      </c>
      <c r="I178" s="161">
        <v>67</v>
      </c>
      <c r="J178" s="161" t="s">
        <v>389</v>
      </c>
      <c r="K178" s="21" t="s">
        <v>106</v>
      </c>
      <c r="L178" s="161" t="s">
        <v>3380</v>
      </c>
      <c r="M178" s="21" t="s">
        <v>107</v>
      </c>
      <c r="N178" s="161" t="s">
        <v>108</v>
      </c>
      <c r="O178" s="21" t="s">
        <v>2856</v>
      </c>
      <c r="P178" s="161" t="s">
        <v>109</v>
      </c>
      <c r="Q178" s="21" t="s">
        <v>70</v>
      </c>
      <c r="R178" s="161">
        <v>80</v>
      </c>
      <c r="S178" s="161" t="s">
        <v>2867</v>
      </c>
      <c r="T178" s="161" t="s">
        <v>569</v>
      </c>
      <c r="U178" s="161" t="s">
        <v>73</v>
      </c>
      <c r="V178" s="21" t="s">
        <v>74</v>
      </c>
      <c r="W178" s="21" t="s">
        <v>75</v>
      </c>
      <c r="X178" s="161" t="s">
        <v>2870</v>
      </c>
      <c r="Y178" s="161">
        <v>0.1</v>
      </c>
      <c r="Z178" s="161">
        <v>5.8</v>
      </c>
      <c r="AA178" s="161" t="s">
        <v>942</v>
      </c>
      <c r="AB178" s="161" t="s">
        <v>114</v>
      </c>
      <c r="AC178" s="266" t="str">
        <f>HYPERLINK("https://gcsvt.ru/svetodiodnyie-svetilniki/svt-str-mpb-48w-duo/","Ссылка")</f>
        <v>Ссылка</v>
      </c>
      <c r="AD178" s="167">
        <v>18020</v>
      </c>
    </row>
    <row r="179" spans="1:30" s="161" customFormat="1" ht="39.950000000000003" customHeight="1" collapsed="1" x14ac:dyDescent="0.25">
      <c r="A179" s="158"/>
      <c r="B179" s="195" t="s">
        <v>4000</v>
      </c>
      <c r="C179" s="202"/>
      <c r="D179" s="163"/>
      <c r="E179" s="163"/>
      <c r="F179" s="163"/>
      <c r="G179" s="163"/>
      <c r="H179" s="163"/>
      <c r="I179" s="163"/>
      <c r="J179" s="163"/>
      <c r="K179" s="75"/>
      <c r="L179" s="163"/>
      <c r="M179" s="75"/>
      <c r="N179" s="163"/>
      <c r="O179" s="75"/>
      <c r="P179" s="163"/>
      <c r="Q179" s="75"/>
      <c r="R179" s="163"/>
      <c r="S179" s="163"/>
      <c r="T179" s="163"/>
      <c r="U179" s="163"/>
      <c r="V179" s="75"/>
      <c r="W179" s="75"/>
      <c r="X179" s="163"/>
      <c r="Y179" s="163"/>
      <c r="Z179" s="163"/>
      <c r="AA179" s="163"/>
      <c r="AB179" s="163"/>
      <c r="AC179" s="227"/>
      <c r="AD179" s="164"/>
    </row>
    <row r="180" spans="1:30" s="161" customFormat="1" ht="39.950000000000003" hidden="1" customHeight="1" outlineLevel="1" x14ac:dyDescent="0.25">
      <c r="A180" s="21"/>
      <c r="B180" s="21" t="s">
        <v>1293</v>
      </c>
      <c r="C180" s="159" t="s">
        <v>1294</v>
      </c>
      <c r="D180" s="161">
        <v>7630</v>
      </c>
      <c r="E180" s="161">
        <v>48</v>
      </c>
      <c r="F180" s="161">
        <v>158</v>
      </c>
      <c r="G180" s="161" t="s">
        <v>1295</v>
      </c>
      <c r="H180" s="161" t="s">
        <v>138</v>
      </c>
      <c r="I180" s="161">
        <v>67</v>
      </c>
      <c r="J180" s="161" t="s">
        <v>105</v>
      </c>
      <c r="K180" s="21" t="s">
        <v>106</v>
      </c>
      <c r="L180" s="161" t="s">
        <v>3380</v>
      </c>
      <c r="M180" s="21" t="s">
        <v>107</v>
      </c>
      <c r="N180" s="161" t="s">
        <v>108</v>
      </c>
      <c r="O180" s="21" t="s">
        <v>139</v>
      </c>
      <c r="P180" s="161" t="s">
        <v>109</v>
      </c>
      <c r="Q180" s="21" t="s">
        <v>70</v>
      </c>
      <c r="R180" s="161">
        <v>80</v>
      </c>
      <c r="S180" s="161" t="s">
        <v>140</v>
      </c>
      <c r="T180" s="161" t="s">
        <v>141</v>
      </c>
      <c r="U180" s="161" t="s">
        <v>142</v>
      </c>
      <c r="V180" s="21" t="s">
        <v>1296</v>
      </c>
      <c r="W180" s="21" t="s">
        <v>1297</v>
      </c>
      <c r="X180" s="161" t="s">
        <v>1298</v>
      </c>
      <c r="Y180" s="161">
        <v>5.3949999999999996E-3</v>
      </c>
      <c r="Z180" s="161">
        <v>2.2999999999999998</v>
      </c>
      <c r="AA180" s="161" t="s">
        <v>144</v>
      </c>
      <c r="AB180" s="161" t="s">
        <v>114</v>
      </c>
      <c r="AC180" s="266" t="str">
        <f>HYPERLINK("https://gcsvt.ru/svetodiodnyie-svetilniki/svt-str-m-48w-azs-ramka-350kh350/","Ссылка")</f>
        <v>Ссылка</v>
      </c>
      <c r="AD180" s="167">
        <v>7712</v>
      </c>
    </row>
    <row r="181" spans="1:30" s="161" customFormat="1" ht="39.950000000000003" hidden="1" customHeight="1" outlineLevel="1" x14ac:dyDescent="0.25">
      <c r="A181" s="21"/>
      <c r="B181" s="21" t="s">
        <v>1293</v>
      </c>
      <c r="C181" s="159" t="s">
        <v>1299</v>
      </c>
      <c r="D181" s="161">
        <v>15260</v>
      </c>
      <c r="E181" s="161">
        <v>96</v>
      </c>
      <c r="F181" s="161">
        <v>158</v>
      </c>
      <c r="G181" s="161" t="s">
        <v>1300</v>
      </c>
      <c r="H181" s="161" t="s">
        <v>138</v>
      </c>
      <c r="I181" s="161">
        <v>67</v>
      </c>
      <c r="J181" s="161" t="s">
        <v>105</v>
      </c>
      <c r="K181" s="21" t="s">
        <v>106</v>
      </c>
      <c r="L181" s="161" t="s">
        <v>3380</v>
      </c>
      <c r="M181" s="21" t="s">
        <v>107</v>
      </c>
      <c r="N181" s="161" t="s">
        <v>108</v>
      </c>
      <c r="O181" s="21" t="s">
        <v>139</v>
      </c>
      <c r="P181" s="161" t="s">
        <v>109</v>
      </c>
      <c r="Q181" s="21" t="s">
        <v>70</v>
      </c>
      <c r="R181" s="161">
        <v>80</v>
      </c>
      <c r="S181" s="161" t="s">
        <v>1301</v>
      </c>
      <c r="T181" s="161" t="s">
        <v>141</v>
      </c>
      <c r="U181" s="161" t="s">
        <v>142</v>
      </c>
      <c r="V181" s="21" t="s">
        <v>1296</v>
      </c>
      <c r="W181" s="21" t="s">
        <v>1297</v>
      </c>
      <c r="X181" s="161" t="s">
        <v>1298</v>
      </c>
      <c r="Y181" s="161">
        <v>5.3949999999999996E-3</v>
      </c>
      <c r="Z181" s="161">
        <v>3.3</v>
      </c>
      <c r="AA181" s="161" t="s">
        <v>144</v>
      </c>
      <c r="AB181" s="161" t="s">
        <v>114</v>
      </c>
      <c r="AC181" s="266" t="str">
        <f>HYPERLINK("https://gcsvt.ru/svetodiodnyie-svetilniki/svt-str-m-48w-azs-duo-ramka-350kh350/","Ссылка")</f>
        <v>Ссылка</v>
      </c>
      <c r="AD181" s="167">
        <v>14547</v>
      </c>
    </row>
    <row r="182" spans="1:30" s="161" customFormat="1" ht="39.950000000000003" hidden="1" customHeight="1" outlineLevel="1" x14ac:dyDescent="0.25">
      <c r="A182" s="21"/>
      <c r="B182" s="21" t="s">
        <v>1293</v>
      </c>
      <c r="C182" s="159" t="s">
        <v>1302</v>
      </c>
      <c r="F182" s="161" t="e">
        <v>#DIV/0!</v>
      </c>
      <c r="K182" s="21"/>
      <c r="M182" s="21"/>
      <c r="O182" s="21"/>
      <c r="Q182" s="21"/>
      <c r="V182" s="21"/>
      <c r="W182" s="21"/>
      <c r="Z182" s="161">
        <v>1.3</v>
      </c>
      <c r="AC182" s="266" t="str">
        <f>HYPERLINK("https://gcsvt.ru/svetodiodnyie-svetilniki/ramka-dlya-azs-na-moduli-s-zashchitoy-380v-dlya-1-ili-2-moduley/","Ссылка")</f>
        <v>Ссылка</v>
      </c>
      <c r="AD182" s="167">
        <v>1347</v>
      </c>
    </row>
    <row r="183" spans="1:30" s="161" customFormat="1" ht="39.950000000000003" customHeight="1" collapsed="1" x14ac:dyDescent="0.25">
      <c r="A183" s="165"/>
      <c r="B183" s="198" t="s">
        <v>4010</v>
      </c>
      <c r="C183" s="202"/>
      <c r="D183" s="163"/>
      <c r="E183" s="163"/>
      <c r="F183" s="163"/>
      <c r="G183" s="163"/>
      <c r="H183" s="163"/>
      <c r="I183" s="163"/>
      <c r="J183" s="163"/>
      <c r="K183" s="75"/>
      <c r="L183" s="163"/>
      <c r="M183" s="75"/>
      <c r="N183" s="163"/>
      <c r="O183" s="75"/>
      <c r="P183" s="163"/>
      <c r="Q183" s="75"/>
      <c r="R183" s="163"/>
      <c r="S183" s="163"/>
      <c r="T183" s="163"/>
      <c r="U183" s="163"/>
      <c r="V183" s="75"/>
      <c r="W183" s="75"/>
      <c r="X183" s="163"/>
      <c r="Y183" s="163"/>
      <c r="Z183" s="163"/>
      <c r="AA183" s="163"/>
      <c r="AB183" s="163"/>
      <c r="AC183" s="227"/>
      <c r="AD183" s="164"/>
    </row>
    <row r="184" spans="1:30" s="161" customFormat="1" ht="39.950000000000003" hidden="1" customHeight="1" outlineLevel="1" x14ac:dyDescent="0.25">
      <c r="A184" s="21"/>
      <c r="B184" s="21" t="s">
        <v>1614</v>
      </c>
      <c r="C184" s="159" t="s">
        <v>1922</v>
      </c>
      <c r="D184" s="161">
        <v>3200</v>
      </c>
      <c r="E184" s="161">
        <v>29</v>
      </c>
      <c r="F184" s="161">
        <v>110</v>
      </c>
      <c r="G184" s="161" t="s">
        <v>1923</v>
      </c>
      <c r="H184" s="161" t="s">
        <v>1617</v>
      </c>
      <c r="I184" s="161">
        <v>54</v>
      </c>
      <c r="J184" s="21" t="s">
        <v>1637</v>
      </c>
      <c r="K184" s="21" t="s">
        <v>106</v>
      </c>
      <c r="L184" s="161" t="s">
        <v>1618</v>
      </c>
      <c r="M184" s="21" t="s">
        <v>1685</v>
      </c>
      <c r="N184" s="161" t="s">
        <v>108</v>
      </c>
      <c r="O184" s="21" t="s">
        <v>1620</v>
      </c>
      <c r="P184" s="161" t="s">
        <v>109</v>
      </c>
      <c r="Q184" s="21" t="s">
        <v>70</v>
      </c>
      <c r="R184" s="161">
        <v>80</v>
      </c>
      <c r="S184" s="161" t="s">
        <v>1621</v>
      </c>
      <c r="T184" s="161" t="s">
        <v>141</v>
      </c>
      <c r="U184" s="161" t="s">
        <v>2007</v>
      </c>
      <c r="V184" s="21" t="s">
        <v>1622</v>
      </c>
      <c r="W184" s="21" t="s">
        <v>1623</v>
      </c>
      <c r="X184" s="161" t="s">
        <v>1912</v>
      </c>
      <c r="Y184" s="161">
        <v>1.4760000000000001E-2</v>
      </c>
      <c r="Z184" s="161">
        <v>1.3</v>
      </c>
      <c r="AA184" s="161" t="s">
        <v>1625</v>
      </c>
      <c r="AB184" s="161" t="s">
        <v>1626</v>
      </c>
      <c r="AC184" s="266" t="str">
        <f>HYPERLINK("https://gcsvt.ru/svetodiodnyie-svetilniki/svt-arm-u-air-595x595x34-29w-pr-inbat-ip54/","Ссылка")</f>
        <v>Ссылка</v>
      </c>
      <c r="AD184" s="170" t="s">
        <v>2859</v>
      </c>
    </row>
    <row r="185" spans="1:30" s="161" customFormat="1" ht="39.950000000000003" hidden="1" customHeight="1" outlineLevel="1" x14ac:dyDescent="0.25">
      <c r="A185" s="21"/>
      <c r="B185" s="21" t="s">
        <v>1614</v>
      </c>
      <c r="C185" s="159" t="s">
        <v>1683</v>
      </c>
      <c r="D185" s="161">
        <v>3200</v>
      </c>
      <c r="E185" s="161">
        <v>29</v>
      </c>
      <c r="F185" s="161">
        <v>110</v>
      </c>
      <c r="G185" s="161" t="s">
        <v>1684</v>
      </c>
      <c r="H185" s="161" t="s">
        <v>1617</v>
      </c>
      <c r="I185" s="161">
        <v>54</v>
      </c>
      <c r="J185" s="21" t="s">
        <v>1637</v>
      </c>
      <c r="K185" s="21" t="s">
        <v>106</v>
      </c>
      <c r="L185" s="161" t="s">
        <v>1618</v>
      </c>
      <c r="M185" s="21" t="s">
        <v>1685</v>
      </c>
      <c r="N185" s="161" t="s">
        <v>108</v>
      </c>
      <c r="O185" s="21" t="s">
        <v>1620</v>
      </c>
      <c r="P185" s="161" t="s">
        <v>109</v>
      </c>
      <c r="Q185" s="21" t="s">
        <v>70</v>
      </c>
      <c r="R185" s="161">
        <v>80</v>
      </c>
      <c r="S185" s="161" t="s">
        <v>1621</v>
      </c>
      <c r="T185" s="161" t="s">
        <v>141</v>
      </c>
      <c r="U185" s="161" t="s">
        <v>2007</v>
      </c>
      <c r="V185" s="21" t="s">
        <v>1622</v>
      </c>
      <c r="W185" s="21" t="s">
        <v>1623</v>
      </c>
      <c r="X185" s="161" t="s">
        <v>1624</v>
      </c>
      <c r="Y185" s="161">
        <v>1.4760000000000001E-2</v>
      </c>
      <c r="Z185" s="161">
        <v>1.2</v>
      </c>
      <c r="AA185" s="161" t="s">
        <v>1625</v>
      </c>
      <c r="AB185" s="161" t="s">
        <v>1626</v>
      </c>
      <c r="AC185" s="266" t="str">
        <f>HYPERLINK("https://gcsvt.ru/svetodiodnyie-svetilniki/svt-arm-u-air-1195x200x34-29w-ip54-pr-inbat/","Ссылка")</f>
        <v>Ссылка</v>
      </c>
      <c r="AD185" s="170" t="s">
        <v>2859</v>
      </c>
    </row>
    <row r="186" spans="1:30" s="161" customFormat="1" ht="39.950000000000003" hidden="1" customHeight="1" outlineLevel="1" x14ac:dyDescent="0.25">
      <c r="A186" s="21"/>
      <c r="B186" s="21" t="s">
        <v>2273</v>
      </c>
      <c r="C186" s="159" t="s">
        <v>2274</v>
      </c>
      <c r="D186" s="161">
        <v>3000</v>
      </c>
      <c r="E186" s="161">
        <v>30</v>
      </c>
      <c r="F186" s="161">
        <v>100</v>
      </c>
      <c r="G186" s="161" t="s">
        <v>2275</v>
      </c>
      <c r="H186" s="161" t="s">
        <v>138</v>
      </c>
      <c r="I186" s="161">
        <v>20</v>
      </c>
      <c r="J186" s="21" t="s">
        <v>1637</v>
      </c>
      <c r="K186" s="21" t="s">
        <v>106</v>
      </c>
      <c r="L186" s="161" t="s">
        <v>3380</v>
      </c>
      <c r="M186" s="21" t="s">
        <v>1685</v>
      </c>
      <c r="N186" s="161" t="s">
        <v>67</v>
      </c>
      <c r="O186" s="21" t="s">
        <v>1930</v>
      </c>
      <c r="P186" s="161" t="s">
        <v>109</v>
      </c>
      <c r="Q186" s="21" t="s">
        <v>70</v>
      </c>
      <c r="R186" s="161">
        <v>80</v>
      </c>
      <c r="S186" s="161" t="s">
        <v>1691</v>
      </c>
      <c r="T186" s="161" t="s">
        <v>1768</v>
      </c>
      <c r="U186" s="161" t="s">
        <v>2007</v>
      </c>
      <c r="V186" s="21" t="s">
        <v>2276</v>
      </c>
      <c r="W186" s="21" t="s">
        <v>1952</v>
      </c>
      <c r="X186" s="161" t="s">
        <v>1951</v>
      </c>
      <c r="Y186" s="161">
        <v>2.3064000000000001E-2</v>
      </c>
      <c r="Z186" s="161">
        <v>3.19</v>
      </c>
      <c r="AA186" s="161" t="s">
        <v>1639</v>
      </c>
      <c r="AB186" s="161" t="s">
        <v>114</v>
      </c>
      <c r="AC186" s="266" t="str">
        <f>HYPERLINK("https://gcsvt.ru/svetodiodnyie-svetilniki/svt-arm-u-595x595x40-30w-pr-inbat-2h/","Ссылка")</f>
        <v>Ссылка</v>
      </c>
      <c r="AD186" s="170" t="s">
        <v>2859</v>
      </c>
    </row>
    <row r="187" spans="1:30" s="161" customFormat="1" ht="39.950000000000003" hidden="1" customHeight="1" outlineLevel="1" x14ac:dyDescent="0.25">
      <c r="A187" s="21"/>
      <c r="B187" s="21" t="s">
        <v>1627</v>
      </c>
      <c r="C187" s="159" t="s">
        <v>1635</v>
      </c>
      <c r="D187" s="161">
        <v>3800</v>
      </c>
      <c r="E187" s="161">
        <v>36</v>
      </c>
      <c r="F187" s="161">
        <v>105</v>
      </c>
      <c r="G187" s="161" t="s">
        <v>1636</v>
      </c>
      <c r="H187" s="161" t="s">
        <v>138</v>
      </c>
      <c r="I187" s="161">
        <v>65</v>
      </c>
      <c r="J187" s="21" t="s">
        <v>1637</v>
      </c>
      <c r="K187" s="21" t="s">
        <v>106</v>
      </c>
      <c r="L187" s="161" t="s">
        <v>1618</v>
      </c>
      <c r="M187" s="21" t="s">
        <v>1638</v>
      </c>
      <c r="N187" s="161" t="s">
        <v>67</v>
      </c>
      <c r="O187" s="21" t="s">
        <v>1630</v>
      </c>
      <c r="P187" s="161" t="s">
        <v>109</v>
      </c>
      <c r="Q187" s="21" t="s">
        <v>70</v>
      </c>
      <c r="R187" s="161">
        <v>80</v>
      </c>
      <c r="S187" s="161" t="s">
        <v>1631</v>
      </c>
      <c r="T187" s="161" t="s">
        <v>141</v>
      </c>
      <c r="U187" s="161" t="s">
        <v>73</v>
      </c>
      <c r="V187" s="21" t="s">
        <v>1632</v>
      </c>
      <c r="W187" s="21" t="s">
        <v>1633</v>
      </c>
      <c r="X187" s="161" t="s">
        <v>1634</v>
      </c>
      <c r="Y187" s="161">
        <v>1.2999999999999999E-2</v>
      </c>
      <c r="Z187" s="161">
        <v>1.2</v>
      </c>
      <c r="AA187" s="161" t="s">
        <v>1639</v>
      </c>
      <c r="AB187" s="161" t="s">
        <v>114</v>
      </c>
      <c r="AC187" s="266" t="str">
        <f>HYPERLINK("https://gcsvt.ru/svetodiodnyie-svetilniki/svt-p-i-v2-1200-36w-ip65-m-inbat/","Ссылка")</f>
        <v>Ссылка</v>
      </c>
      <c r="AD187" s="170" t="s">
        <v>2859</v>
      </c>
    </row>
    <row r="188" spans="1:30" s="161" customFormat="1" ht="39.950000000000003" hidden="1" customHeight="1" outlineLevel="1" x14ac:dyDescent="0.25">
      <c r="A188" s="21"/>
      <c r="B188" s="21" t="s">
        <v>2277</v>
      </c>
      <c r="C188" s="159" t="s">
        <v>3375</v>
      </c>
      <c r="D188" s="161">
        <v>645</v>
      </c>
      <c r="E188" s="161">
        <v>6</v>
      </c>
      <c r="F188" s="161">
        <v>107</v>
      </c>
      <c r="G188" s="161" t="s">
        <v>3378</v>
      </c>
      <c r="I188" s="161">
        <v>40</v>
      </c>
      <c r="J188" s="21" t="s">
        <v>3370</v>
      </c>
      <c r="K188" s="21" t="s">
        <v>1718</v>
      </c>
      <c r="L188" s="161" t="s">
        <v>1618</v>
      </c>
      <c r="M188" s="21" t="s">
        <v>2279</v>
      </c>
      <c r="N188" s="161" t="s">
        <v>67</v>
      </c>
      <c r="O188" s="21" t="s">
        <v>3371</v>
      </c>
      <c r="P188" s="161" t="s">
        <v>109</v>
      </c>
      <c r="Q188" s="21" t="s">
        <v>1720</v>
      </c>
      <c r="R188" s="161">
        <v>80</v>
      </c>
      <c r="S188" s="161" t="s">
        <v>3377</v>
      </c>
      <c r="U188" s="161" t="s">
        <v>2007</v>
      </c>
      <c r="V188" s="21" t="s">
        <v>1632</v>
      </c>
      <c r="W188" s="21" t="s">
        <v>3372</v>
      </c>
      <c r="X188" s="161" t="s">
        <v>3373</v>
      </c>
      <c r="Y188" s="161">
        <v>1.4500000000000001E-2</v>
      </c>
      <c r="Z188" s="161">
        <v>1.3</v>
      </c>
      <c r="AA188" s="161" t="s">
        <v>1639</v>
      </c>
      <c r="AB188" s="161" t="s">
        <v>114</v>
      </c>
      <c r="AC188" s="266" t="str">
        <f>HYPERLINK("https://gcsvt.ru/svetodiodnyie-svetilniki/svt-off-em-6w-1h-nastennyy-bez-piktogrammy/","Ссылка")</f>
        <v>Ссылка</v>
      </c>
      <c r="AD188" s="167">
        <v>6222</v>
      </c>
    </row>
    <row r="189" spans="1:30" s="161" customFormat="1" ht="39.950000000000003" hidden="1" customHeight="1" outlineLevel="1" x14ac:dyDescent="0.25">
      <c r="A189" s="21"/>
      <c r="B189" s="21" t="s">
        <v>2277</v>
      </c>
      <c r="C189" s="159" t="s">
        <v>3376</v>
      </c>
      <c r="D189" s="161">
        <v>645</v>
      </c>
      <c r="E189" s="161">
        <v>6</v>
      </c>
      <c r="F189" s="161">
        <v>107</v>
      </c>
      <c r="G189" s="161" t="s">
        <v>3379</v>
      </c>
      <c r="I189" s="161">
        <v>40</v>
      </c>
      <c r="J189" s="21" t="s">
        <v>3370</v>
      </c>
      <c r="K189" s="21" t="s">
        <v>1718</v>
      </c>
      <c r="L189" s="161" t="s">
        <v>1618</v>
      </c>
      <c r="M189" s="21" t="s">
        <v>3876</v>
      </c>
      <c r="N189" s="161" t="s">
        <v>67</v>
      </c>
      <c r="O189" s="21" t="s">
        <v>3371</v>
      </c>
      <c r="P189" s="161" t="s">
        <v>109</v>
      </c>
      <c r="Q189" s="21" t="s">
        <v>1720</v>
      </c>
      <c r="R189" s="161">
        <v>80</v>
      </c>
      <c r="S189" s="161" t="s">
        <v>3377</v>
      </c>
      <c r="U189" s="161" t="s">
        <v>2007</v>
      </c>
      <c r="V189" s="21" t="s">
        <v>1632</v>
      </c>
      <c r="W189" s="21" t="s">
        <v>3372</v>
      </c>
      <c r="X189" s="161" t="s">
        <v>3373</v>
      </c>
      <c r="Y189" s="161">
        <v>1.4500000000000001E-2</v>
      </c>
      <c r="Z189" s="161">
        <v>1.3</v>
      </c>
      <c r="AA189" s="161" t="s">
        <v>1639</v>
      </c>
      <c r="AB189" s="161" t="s">
        <v>114</v>
      </c>
      <c r="AC189" s="266" t="str">
        <f>HYPERLINK("https://gcsvt.ru/svetodiodnyie-svetilniki/svt-off-em-6w-3h-nastennyy-bez-piktogrammy/","Ссылка")</f>
        <v>Ссылка</v>
      </c>
      <c r="AD189" s="167">
        <v>6715</v>
      </c>
    </row>
    <row r="190" spans="1:30" s="161" customFormat="1" ht="39.950000000000003" hidden="1" customHeight="1" outlineLevel="1" x14ac:dyDescent="0.25">
      <c r="A190" s="21"/>
      <c r="B190" s="21" t="s">
        <v>2277</v>
      </c>
      <c r="C190" s="159" t="s">
        <v>2706</v>
      </c>
      <c r="D190" s="161">
        <v>600</v>
      </c>
      <c r="E190" s="161">
        <v>6</v>
      </c>
      <c r="F190" s="161">
        <v>100</v>
      </c>
      <c r="G190" s="161" t="s">
        <v>2278</v>
      </c>
      <c r="I190" s="161">
        <v>40</v>
      </c>
      <c r="J190" s="21" t="s">
        <v>3370</v>
      </c>
      <c r="K190" s="21" t="s">
        <v>1718</v>
      </c>
      <c r="L190" s="161" t="s">
        <v>1618</v>
      </c>
      <c r="M190" s="21" t="s">
        <v>2279</v>
      </c>
      <c r="N190" s="161" t="s">
        <v>67</v>
      </c>
      <c r="O190" s="21" t="s">
        <v>1630</v>
      </c>
      <c r="P190" s="161" t="s">
        <v>109</v>
      </c>
      <c r="Q190" s="21" t="s">
        <v>1720</v>
      </c>
      <c r="R190" s="161">
        <v>80</v>
      </c>
      <c r="S190" s="161" t="s">
        <v>2280</v>
      </c>
      <c r="T190" s="161" t="s">
        <v>2143</v>
      </c>
      <c r="U190" s="161" t="s">
        <v>2007</v>
      </c>
      <c r="V190" s="21" t="s">
        <v>1632</v>
      </c>
      <c r="W190" s="21" t="s">
        <v>2795</v>
      </c>
      <c r="X190" s="161" t="s">
        <v>3374</v>
      </c>
      <c r="Y190" s="161">
        <v>0.01</v>
      </c>
      <c r="Z190" s="161">
        <v>1.3</v>
      </c>
      <c r="AA190" s="161" t="s">
        <v>1639</v>
      </c>
      <c r="AB190" s="161" t="s">
        <v>114</v>
      </c>
      <c r="AC190" s="266" t="str">
        <f>HYPERLINK("https://gcsvt.ru/svetodiodnyie-svetilniki/svt-off-em-6w-1h-bez-piktogrammy/","Ссылка")</f>
        <v>Ссылка</v>
      </c>
      <c r="AD190" s="167">
        <v>7253</v>
      </c>
    </row>
    <row r="191" spans="1:30" s="161" customFormat="1" ht="39.950000000000003" hidden="1" customHeight="1" outlineLevel="1" x14ac:dyDescent="0.25">
      <c r="A191" s="21"/>
      <c r="B191" s="21" t="s">
        <v>2277</v>
      </c>
      <c r="C191" s="159" t="s">
        <v>3849</v>
      </c>
      <c r="D191" s="161">
        <v>300</v>
      </c>
      <c r="E191" s="161">
        <v>3</v>
      </c>
      <c r="F191" s="161">
        <v>100</v>
      </c>
      <c r="G191" s="161" t="s">
        <v>3843</v>
      </c>
      <c r="I191" s="161">
        <v>40</v>
      </c>
      <c r="J191" s="21" t="s">
        <v>3370</v>
      </c>
      <c r="K191" s="21" t="s">
        <v>1718</v>
      </c>
      <c r="L191" s="161" t="s">
        <v>1618</v>
      </c>
      <c r="M191" s="21" t="s">
        <v>3876</v>
      </c>
      <c r="N191" s="161" t="s">
        <v>67</v>
      </c>
      <c r="O191" s="21" t="s">
        <v>3371</v>
      </c>
      <c r="P191" s="161" t="s">
        <v>109</v>
      </c>
      <c r="Q191" s="21" t="s">
        <v>1720</v>
      </c>
      <c r="R191" s="161">
        <v>80</v>
      </c>
      <c r="S191" s="161" t="s">
        <v>3377</v>
      </c>
      <c r="U191" s="161" t="s">
        <v>2007</v>
      </c>
      <c r="V191" s="21" t="s">
        <v>1632</v>
      </c>
      <c r="W191" s="21" t="s">
        <v>3850</v>
      </c>
      <c r="X191" s="161" t="s">
        <v>3844</v>
      </c>
      <c r="Y191" s="161">
        <v>0.01</v>
      </c>
      <c r="Z191" s="161">
        <v>1.4</v>
      </c>
      <c r="AA191" s="161" t="s">
        <v>1639</v>
      </c>
      <c r="AB191" s="161" t="s">
        <v>114</v>
      </c>
      <c r="AC191" s="266" t="str">
        <f>HYPERLINK("https://gcsvt.ru/svetodiodnyie-svetilniki/svt-off-em-3w-3h-universalnyy-s-piktogrammoy/","Ссылка")</f>
        <v>Ссылка</v>
      </c>
      <c r="AD191" s="167">
        <v>5389</v>
      </c>
    </row>
    <row r="192" spans="1:30" s="161" customFormat="1" ht="39.950000000000003" hidden="1" customHeight="1" outlineLevel="1" x14ac:dyDescent="0.25">
      <c r="A192" s="21"/>
      <c r="B192" s="21" t="s">
        <v>2277</v>
      </c>
      <c r="C192" s="159" t="s">
        <v>3845</v>
      </c>
      <c r="D192" s="161">
        <v>645</v>
      </c>
      <c r="E192" s="161">
        <v>6</v>
      </c>
      <c r="F192" s="161">
        <v>107</v>
      </c>
      <c r="G192" s="161" t="s">
        <v>3847</v>
      </c>
      <c r="I192" s="161">
        <v>65</v>
      </c>
      <c r="J192" s="21" t="s">
        <v>3370</v>
      </c>
      <c r="K192" s="21" t="s">
        <v>1718</v>
      </c>
      <c r="L192" s="161" t="s">
        <v>1618</v>
      </c>
      <c r="M192" s="21" t="s">
        <v>2279</v>
      </c>
      <c r="N192" s="161" t="s">
        <v>67</v>
      </c>
      <c r="O192" s="21" t="s">
        <v>3371</v>
      </c>
      <c r="P192" s="161" t="s">
        <v>109</v>
      </c>
      <c r="Q192" s="21" t="s">
        <v>1720</v>
      </c>
      <c r="R192" s="161">
        <v>80</v>
      </c>
      <c r="S192" s="161" t="s">
        <v>3377</v>
      </c>
      <c r="U192" s="161" t="s">
        <v>2007</v>
      </c>
      <c r="V192" s="21" t="s">
        <v>1632</v>
      </c>
      <c r="W192" s="21" t="s">
        <v>3372</v>
      </c>
      <c r="X192" s="161" t="s">
        <v>3373</v>
      </c>
      <c r="Y192" s="161">
        <v>1.4500000000000001E-2</v>
      </c>
      <c r="Z192" s="161">
        <v>1.3</v>
      </c>
      <c r="AA192" s="161" t="s">
        <v>1639</v>
      </c>
      <c r="AB192" s="161" t="s">
        <v>114</v>
      </c>
      <c r="AC192" s="266" t="str">
        <f>HYPERLINK("https://gcsvt.ru/svetodiodnyie-svetilniki/svt-off-em-6w-1h-ip65-nastennyy-bez-piktogrammy/","Ссылка")</f>
        <v>Ссылка</v>
      </c>
      <c r="AD192" s="167">
        <v>6970</v>
      </c>
    </row>
    <row r="193" spans="1:30" s="161" customFormat="1" ht="39.950000000000003" hidden="1" customHeight="1" outlineLevel="1" x14ac:dyDescent="0.25">
      <c r="A193" s="21"/>
      <c r="B193" s="21" t="s">
        <v>2277</v>
      </c>
      <c r="C193" s="159" t="s">
        <v>3846</v>
      </c>
      <c r="D193" s="161">
        <v>645</v>
      </c>
      <c r="E193" s="161">
        <v>6</v>
      </c>
      <c r="F193" s="161">
        <v>107</v>
      </c>
      <c r="G193" s="161" t="s">
        <v>3848</v>
      </c>
      <c r="I193" s="161">
        <v>65</v>
      </c>
      <c r="J193" s="21" t="s">
        <v>3370</v>
      </c>
      <c r="K193" s="21" t="s">
        <v>1718</v>
      </c>
      <c r="L193" s="161" t="s">
        <v>1618</v>
      </c>
      <c r="M193" s="21" t="s">
        <v>3876</v>
      </c>
      <c r="N193" s="161" t="s">
        <v>67</v>
      </c>
      <c r="O193" s="21" t="s">
        <v>3371</v>
      </c>
      <c r="P193" s="161" t="s">
        <v>109</v>
      </c>
      <c r="Q193" s="21" t="s">
        <v>1720</v>
      </c>
      <c r="R193" s="161">
        <v>80</v>
      </c>
      <c r="S193" s="161" t="s">
        <v>3377</v>
      </c>
      <c r="U193" s="161" t="s">
        <v>2007</v>
      </c>
      <c r="V193" s="21" t="s">
        <v>1632</v>
      </c>
      <c r="W193" s="21" t="s">
        <v>3372</v>
      </c>
      <c r="X193" s="161" t="s">
        <v>3373</v>
      </c>
      <c r="Y193" s="161">
        <v>1.4500000000000001E-2</v>
      </c>
      <c r="Z193" s="161">
        <v>1.3</v>
      </c>
      <c r="AA193" s="161" t="s">
        <v>1639</v>
      </c>
      <c r="AB193" s="161" t="s">
        <v>114</v>
      </c>
      <c r="AC193" s="266" t="str">
        <f>HYPERLINK("https://gcsvt.ru/svetodiodnyie-svetilniki/svt-off-em-6w-3h-ip65-nastennyy-bez-piktogrammy/","Ссылка")</f>
        <v>Ссылка</v>
      </c>
      <c r="AD193" s="167">
        <v>7480</v>
      </c>
    </row>
    <row r="194" spans="1:30" s="161" customFormat="1" ht="39.950000000000003" hidden="1" customHeight="1" outlineLevel="1" x14ac:dyDescent="0.25">
      <c r="A194" s="21"/>
      <c r="B194" s="21" t="s">
        <v>2277</v>
      </c>
      <c r="C194" s="159" t="s">
        <v>3873</v>
      </c>
      <c r="D194" s="161">
        <v>1284</v>
      </c>
      <c r="E194" s="161">
        <v>12</v>
      </c>
      <c r="F194" s="161">
        <v>107</v>
      </c>
      <c r="G194" s="161" t="s">
        <v>3874</v>
      </c>
      <c r="I194" s="161">
        <v>65</v>
      </c>
      <c r="J194" s="21" t="s">
        <v>3370</v>
      </c>
      <c r="K194" s="21" t="s">
        <v>1718</v>
      </c>
      <c r="L194" s="161" t="s">
        <v>1618</v>
      </c>
      <c r="M194" s="21" t="s">
        <v>3876</v>
      </c>
      <c r="N194" s="161" t="s">
        <v>67</v>
      </c>
      <c r="O194" s="21" t="s">
        <v>3371</v>
      </c>
      <c r="P194" s="161" t="s">
        <v>109</v>
      </c>
      <c r="Q194" s="21" t="s">
        <v>1720</v>
      </c>
      <c r="R194" s="161">
        <v>80</v>
      </c>
      <c r="S194" s="161" t="s">
        <v>3377</v>
      </c>
      <c r="U194" s="161" t="s">
        <v>2007</v>
      </c>
      <c r="V194" s="21" t="s">
        <v>1632</v>
      </c>
      <c r="W194" s="21" t="s">
        <v>3372</v>
      </c>
      <c r="X194" s="161" t="s">
        <v>3373</v>
      </c>
      <c r="Y194" s="161">
        <v>1.4500000000000001E-2</v>
      </c>
      <c r="Z194" s="161">
        <v>1.3</v>
      </c>
      <c r="AA194" s="161" t="s">
        <v>1639</v>
      </c>
      <c r="AB194" s="161" t="s">
        <v>114</v>
      </c>
      <c r="AC194" s="266" t="str">
        <f>HYPERLINK("https://gcsvt.ru/svetodiodnyie-svetilniki/svt-off-em-12w-3h-ip65-nastennyy-bez-piktogrammy/","Ссылка")</f>
        <v>Ссылка</v>
      </c>
      <c r="AD194" s="167">
        <v>9061</v>
      </c>
    </row>
    <row r="195" spans="1:30" s="161" customFormat="1" ht="39.950000000000003" hidden="1" customHeight="1" outlineLevel="1" x14ac:dyDescent="0.25">
      <c r="A195" s="21"/>
      <c r="B195" s="21" t="s">
        <v>2277</v>
      </c>
      <c r="C195" s="159" t="s">
        <v>2703</v>
      </c>
      <c r="G195" s="161" t="s">
        <v>2707</v>
      </c>
      <c r="K195" s="21"/>
      <c r="M195" s="21"/>
      <c r="O195" s="21"/>
      <c r="Q195" s="21"/>
      <c r="V195" s="21"/>
      <c r="W195" s="21"/>
      <c r="X195" s="21" t="s">
        <v>2719</v>
      </c>
      <c r="AC195" s="266" t="str">
        <f>HYPERLINK("https://gcsvt.ru/svetodiodnyie-svetilniki/piktogramma-vykhod-nalevo-260kh100mm/","Ссылка")</f>
        <v>Ссылка</v>
      </c>
      <c r="AD195" s="167">
        <v>303</v>
      </c>
    </row>
    <row r="196" spans="1:30" s="161" customFormat="1" ht="39.950000000000003" hidden="1" customHeight="1" outlineLevel="1" x14ac:dyDescent="0.25">
      <c r="A196" s="21"/>
      <c r="B196" s="21" t="s">
        <v>2277</v>
      </c>
      <c r="C196" s="159" t="s">
        <v>2704</v>
      </c>
      <c r="G196" s="161" t="s">
        <v>2708</v>
      </c>
      <c r="K196" s="21"/>
      <c r="M196" s="21"/>
      <c r="O196" s="21"/>
      <c r="Q196" s="21"/>
      <c r="V196" s="21"/>
      <c r="W196" s="21"/>
      <c r="X196" s="21" t="s">
        <v>2719</v>
      </c>
      <c r="AC196" s="266" t="str">
        <f>HYPERLINK("https://gcsvt.ru/svetodiodnyie-svetilniki/piktogramma-vykhod-napravo-260kh100mm/","Ссылка")</f>
        <v>Ссылка</v>
      </c>
      <c r="AD196" s="167">
        <v>303</v>
      </c>
    </row>
    <row r="197" spans="1:30" s="161" customFormat="1" ht="39.950000000000003" hidden="1" customHeight="1" outlineLevel="1" x14ac:dyDescent="0.25">
      <c r="A197" s="21"/>
      <c r="B197" s="21" t="s">
        <v>2277</v>
      </c>
      <c r="C197" s="159" t="s">
        <v>2720</v>
      </c>
      <c r="G197" s="161" t="s">
        <v>2709</v>
      </c>
      <c r="K197" s="21"/>
      <c r="M197" s="21"/>
      <c r="O197" s="21"/>
      <c r="Q197" s="21"/>
      <c r="V197" s="21"/>
      <c r="W197" s="21"/>
      <c r="X197" s="21" t="s">
        <v>2719</v>
      </c>
      <c r="AC197" s="266" t="str">
        <f>HYPERLINK("https://gcsvt.ru/svetodiodnyie-svetilniki/piktogramma-vykhod-260kh100mm/","Ссылка")</f>
        <v>Ссылка</v>
      </c>
      <c r="AD197" s="167">
        <v>303</v>
      </c>
    </row>
    <row r="198" spans="1:30" s="161" customFormat="1" ht="39.950000000000003" hidden="1" customHeight="1" outlineLevel="1" x14ac:dyDescent="0.25">
      <c r="A198" s="21"/>
      <c r="B198" s="21" t="s">
        <v>2277</v>
      </c>
      <c r="C198" s="159" t="s">
        <v>2705</v>
      </c>
      <c r="G198" s="161" t="s">
        <v>2710</v>
      </c>
      <c r="K198" s="21"/>
      <c r="M198" s="21"/>
      <c r="O198" s="21"/>
      <c r="Q198" s="21"/>
      <c r="V198" s="21"/>
      <c r="W198" s="21"/>
      <c r="X198" s="21" t="s">
        <v>2719</v>
      </c>
      <c r="AC198" s="266" t="str">
        <f>HYPERLINK("https://gcsvt.ru/svetodiodnyie-svetilniki/piktogramma-ukazatelnaya-strelka-260kh100mm/","Ссылка")</f>
        <v>Ссылка</v>
      </c>
      <c r="AD198" s="167">
        <v>303</v>
      </c>
    </row>
    <row r="199" spans="1:30" s="161" customFormat="1" ht="39.950000000000003" hidden="1" customHeight="1" outlineLevel="1" x14ac:dyDescent="0.25">
      <c r="A199" s="21"/>
      <c r="B199" s="21" t="s">
        <v>2277</v>
      </c>
      <c r="C199" s="159" t="s">
        <v>2728</v>
      </c>
      <c r="G199" s="161" t="s">
        <v>2711</v>
      </c>
      <c r="K199" s="21"/>
      <c r="M199" s="21"/>
      <c r="O199" s="21"/>
      <c r="Q199" s="21"/>
      <c r="V199" s="21"/>
      <c r="W199" s="21"/>
      <c r="X199" s="21" t="s">
        <v>2719</v>
      </c>
      <c r="AC199" s="266" t="str">
        <f>HYPERLINK("https://gcsvt.ru/svetodiodnyie-svetilniki/piktogramma-vykhod-vniz-po-lestnitse-napravo-260kh100mm/","Ссылка")</f>
        <v>Ссылка</v>
      </c>
      <c r="AD199" s="167">
        <v>303</v>
      </c>
    </row>
    <row r="200" spans="1:30" s="161" customFormat="1" ht="39.950000000000003" hidden="1" customHeight="1" outlineLevel="1" x14ac:dyDescent="0.25">
      <c r="A200" s="21"/>
      <c r="B200" s="21" t="s">
        <v>2277</v>
      </c>
      <c r="C200" s="159" t="s">
        <v>2721</v>
      </c>
      <c r="G200" s="161" t="s">
        <v>2712</v>
      </c>
      <c r="K200" s="21"/>
      <c r="M200" s="21"/>
      <c r="O200" s="21"/>
      <c r="Q200" s="21"/>
      <c r="V200" s="21"/>
      <c r="W200" s="21"/>
      <c r="X200" s="21" t="s">
        <v>2719</v>
      </c>
      <c r="AC200" s="266" t="str">
        <f>HYPERLINK("https://gcsvt.ru/svetodiodnyie-svetilniki/piktogramma-vykhod-vniz-po-lestnitse-nalevo-260kh100mm/","Ссылка")</f>
        <v>Ссылка</v>
      </c>
      <c r="AD200" s="167">
        <v>303</v>
      </c>
    </row>
    <row r="201" spans="1:30" s="161" customFormat="1" ht="39.950000000000003" hidden="1" customHeight="1" outlineLevel="1" x14ac:dyDescent="0.25">
      <c r="A201" s="21"/>
      <c r="B201" s="21" t="s">
        <v>2277</v>
      </c>
      <c r="C201" s="159" t="s">
        <v>2722</v>
      </c>
      <c r="G201" s="161" t="s">
        <v>2713</v>
      </c>
      <c r="K201" s="21"/>
      <c r="M201" s="21"/>
      <c r="O201" s="21"/>
      <c r="Q201" s="21"/>
      <c r="V201" s="21"/>
      <c r="W201" s="21"/>
      <c r="X201" s="21" t="s">
        <v>2719</v>
      </c>
      <c r="AC201" s="266" t="str">
        <f>HYPERLINK("https://gcsvt.ru/svetodiodnyie-svetilniki/piktogramma-vykhod-vverkh-po-lestnitse-napravo-260kh100mm/","Ссылка")</f>
        <v>Ссылка</v>
      </c>
      <c r="AD201" s="167">
        <v>303</v>
      </c>
    </row>
    <row r="202" spans="1:30" s="161" customFormat="1" ht="39.950000000000003" hidden="1" customHeight="1" outlineLevel="1" x14ac:dyDescent="0.25">
      <c r="A202" s="21"/>
      <c r="B202" s="21" t="s">
        <v>2277</v>
      </c>
      <c r="C202" s="159" t="s">
        <v>2723</v>
      </c>
      <c r="G202" s="161" t="s">
        <v>2714</v>
      </c>
      <c r="K202" s="21"/>
      <c r="M202" s="21"/>
      <c r="O202" s="21"/>
      <c r="Q202" s="21"/>
      <c r="V202" s="21"/>
      <c r="W202" s="21"/>
      <c r="X202" s="21" t="s">
        <v>2719</v>
      </c>
      <c r="AC202" s="266" t="str">
        <f>HYPERLINK("https://gcsvt.ru/svetodiodnyie-svetilniki/piktogramma-vykhod-vverkh-po-lestnitse-nalevo-260kh100mm/","Ссылка")</f>
        <v>Ссылка</v>
      </c>
      <c r="AD202" s="167">
        <v>303</v>
      </c>
    </row>
    <row r="203" spans="1:30" s="161" customFormat="1" ht="39.950000000000003" hidden="1" customHeight="1" outlineLevel="1" x14ac:dyDescent="0.25">
      <c r="A203" s="21"/>
      <c r="B203" s="21" t="s">
        <v>2277</v>
      </c>
      <c r="C203" s="159" t="s">
        <v>2724</v>
      </c>
      <c r="G203" s="161" t="s">
        <v>2715</v>
      </c>
      <c r="K203" s="21"/>
      <c r="M203" s="21"/>
      <c r="O203" s="21"/>
      <c r="Q203" s="21"/>
      <c r="V203" s="21"/>
      <c r="W203" s="21"/>
      <c r="X203" s="21" t="s">
        <v>2719</v>
      </c>
      <c r="AC203" s="266" t="str">
        <f>HYPERLINK("https://gcsvt.ru/svetodiodnyie-svetilniki/piktogramma-zapasnyy-vykhod-260kh100mm/","Ссылка")</f>
        <v>Ссылка</v>
      </c>
      <c r="AD203" s="167">
        <v>303</v>
      </c>
    </row>
    <row r="204" spans="1:30" s="161" customFormat="1" ht="39.950000000000003" hidden="1" customHeight="1" outlineLevel="1" x14ac:dyDescent="0.25">
      <c r="A204" s="21"/>
      <c r="B204" s="21" t="s">
        <v>2277</v>
      </c>
      <c r="C204" s="159" t="s">
        <v>2727</v>
      </c>
      <c r="G204" s="161" t="s">
        <v>2716</v>
      </c>
      <c r="K204" s="21"/>
      <c r="M204" s="21"/>
      <c r="O204" s="21"/>
      <c r="Q204" s="21"/>
      <c r="V204" s="21"/>
      <c r="W204" s="21"/>
      <c r="X204" s="21" t="s">
        <v>2719</v>
      </c>
      <c r="AC204" s="266" t="str">
        <f>HYPERLINK("https://gcsvt.ru/svetodiodnyie-svetilniki/piktogramma-vykhod-pryamo-vniz-260kh100mm/","Ссылка")</f>
        <v>Ссылка</v>
      </c>
      <c r="AD204" s="167">
        <v>303</v>
      </c>
    </row>
    <row r="205" spans="1:30" s="161" customFormat="1" ht="39.950000000000003" hidden="1" customHeight="1" outlineLevel="1" x14ac:dyDescent="0.25">
      <c r="A205" s="21"/>
      <c r="B205" s="21" t="s">
        <v>2277</v>
      </c>
      <c r="C205" s="159" t="s">
        <v>2725</v>
      </c>
      <c r="G205" s="161" t="s">
        <v>2717</v>
      </c>
      <c r="K205" s="21"/>
      <c r="M205" s="21"/>
      <c r="O205" s="21"/>
      <c r="Q205" s="21"/>
      <c r="V205" s="21"/>
      <c r="W205" s="21"/>
      <c r="X205" s="21" t="s">
        <v>2719</v>
      </c>
      <c r="AC205" s="266" t="str">
        <f>HYPERLINK("https://gcsvt.ru/svetodiodnyie-svetilniki/piktogramma-vykhod-exit-260kh100mm/","Ссылка")</f>
        <v>Ссылка</v>
      </c>
      <c r="AD205" s="167">
        <v>303</v>
      </c>
    </row>
    <row r="206" spans="1:30" s="161" customFormat="1" ht="39.950000000000003" hidden="1" customHeight="1" outlineLevel="1" x14ac:dyDescent="0.25">
      <c r="A206" s="21"/>
      <c r="B206" s="21" t="s">
        <v>2277</v>
      </c>
      <c r="C206" s="159" t="s">
        <v>2726</v>
      </c>
      <c r="G206" s="161" t="s">
        <v>2718</v>
      </c>
      <c r="K206" s="21"/>
      <c r="M206" s="21"/>
      <c r="O206" s="21"/>
      <c r="Q206" s="21"/>
      <c r="V206" s="21"/>
      <c r="W206" s="21"/>
      <c r="X206" s="21" t="s">
        <v>2719</v>
      </c>
      <c r="AC206" s="266" t="str">
        <f>HYPERLINK("https://gcsvt.ru/svetodiodnyie-svetilniki/piktogramma-vykhod-exit-260kh100mm/","Ссылка")</f>
        <v>Ссылка</v>
      </c>
      <c r="AD206" s="167">
        <v>303</v>
      </c>
    </row>
    <row r="207" spans="1:30" s="161" customFormat="1" ht="39.950000000000003" hidden="1" customHeight="1" outlineLevel="1" x14ac:dyDescent="0.25">
      <c r="A207" s="21"/>
      <c r="B207" s="21" t="s">
        <v>2282</v>
      </c>
      <c r="C207" s="159" t="s">
        <v>2283</v>
      </c>
      <c r="D207" s="161">
        <v>3410</v>
      </c>
      <c r="E207" s="161">
        <v>30</v>
      </c>
      <c r="F207" s="161">
        <v>113</v>
      </c>
      <c r="G207" s="161" t="s">
        <v>2284</v>
      </c>
      <c r="H207" s="161" t="s">
        <v>138</v>
      </c>
      <c r="I207" s="161">
        <v>65</v>
      </c>
      <c r="J207" s="21" t="s">
        <v>1637</v>
      </c>
      <c r="K207" s="21" t="s">
        <v>106</v>
      </c>
      <c r="L207" s="161" t="s">
        <v>3380</v>
      </c>
      <c r="M207" s="21" t="s">
        <v>1685</v>
      </c>
      <c r="N207" s="161" t="s">
        <v>67</v>
      </c>
      <c r="O207" s="21" t="s">
        <v>1690</v>
      </c>
      <c r="P207" s="161" t="s">
        <v>109</v>
      </c>
      <c r="Q207" s="21" t="s">
        <v>70</v>
      </c>
      <c r="R207" s="161">
        <v>80</v>
      </c>
      <c r="S207" s="161" t="s">
        <v>1691</v>
      </c>
      <c r="T207" s="161" t="s">
        <v>1692</v>
      </c>
      <c r="U207" s="161" t="s">
        <v>2007</v>
      </c>
      <c r="V207" s="21" t="s">
        <v>1693</v>
      </c>
      <c r="W207" s="21" t="s">
        <v>1694</v>
      </c>
      <c r="X207" s="161" t="s">
        <v>2285</v>
      </c>
      <c r="Y207" s="161">
        <v>1.8162375000000001E-2</v>
      </c>
      <c r="Z207" s="161">
        <v>2.1150000000000002</v>
      </c>
      <c r="AA207" s="161" t="s">
        <v>1639</v>
      </c>
      <c r="AB207" s="161" t="s">
        <v>114</v>
      </c>
      <c r="AC207" s="266" t="str">
        <f>HYPERLINK("https://gcsvt.ru/svetodiodnyie-svetilniki/svt-p-i-1280-30w-t-inbat-2h/","Ссылка")</f>
        <v>Ссылка</v>
      </c>
      <c r="AD207" s="170" t="s">
        <v>2859</v>
      </c>
    </row>
    <row r="208" spans="1:30" s="161" customFormat="1" ht="39.950000000000003" hidden="1" customHeight="1" outlineLevel="1" x14ac:dyDescent="0.25">
      <c r="A208" s="21"/>
      <c r="B208" s="21" t="s">
        <v>2282</v>
      </c>
      <c r="C208" s="159" t="s">
        <v>2286</v>
      </c>
      <c r="D208" s="161">
        <v>2720</v>
      </c>
      <c r="E208" s="161">
        <v>30</v>
      </c>
      <c r="F208" s="161">
        <v>90</v>
      </c>
      <c r="G208" s="161" t="s">
        <v>2287</v>
      </c>
      <c r="H208" s="161" t="s">
        <v>138</v>
      </c>
      <c r="I208" s="161">
        <v>65</v>
      </c>
      <c r="J208" s="21" t="s">
        <v>1637</v>
      </c>
      <c r="K208" s="21" t="s">
        <v>106</v>
      </c>
      <c r="L208" s="161" t="s">
        <v>3380</v>
      </c>
      <c r="M208" s="21" t="s">
        <v>1685</v>
      </c>
      <c r="N208" s="161" t="s">
        <v>67</v>
      </c>
      <c r="O208" s="21" t="s">
        <v>1630</v>
      </c>
      <c r="P208" s="161" t="s">
        <v>109</v>
      </c>
      <c r="Q208" s="21" t="s">
        <v>70</v>
      </c>
      <c r="R208" s="161">
        <v>80</v>
      </c>
      <c r="S208" s="161" t="s">
        <v>1691</v>
      </c>
      <c r="T208" s="161" t="s">
        <v>1692</v>
      </c>
      <c r="U208" s="161" t="s">
        <v>2007</v>
      </c>
      <c r="V208" s="21" t="s">
        <v>1693</v>
      </c>
      <c r="W208" s="21" t="s">
        <v>1694</v>
      </c>
      <c r="X208" s="161" t="s">
        <v>2285</v>
      </c>
      <c r="Y208" s="161">
        <v>1.8162375000000001E-2</v>
      </c>
      <c r="Z208" s="161">
        <v>2.1150000000000002</v>
      </c>
      <c r="AA208" s="161" t="s">
        <v>1639</v>
      </c>
      <c r="AB208" s="161" t="s">
        <v>114</v>
      </c>
      <c r="AC208" s="266" t="str">
        <f>HYPERLINK("https://gcsvt.ru/svetodiodnyie-svetilniki/svt-p-i-1280-30w-m-inbat-2h/","Ссылка")</f>
        <v>Ссылка</v>
      </c>
      <c r="AD208" s="170" t="s">
        <v>2859</v>
      </c>
    </row>
    <row r="209" spans="1:30" s="161" customFormat="1" ht="39.950000000000003" hidden="1" customHeight="1" outlineLevel="1" x14ac:dyDescent="0.25">
      <c r="A209" s="21"/>
      <c r="B209" s="21" t="s">
        <v>2282</v>
      </c>
      <c r="C209" s="159" t="s">
        <v>3390</v>
      </c>
      <c r="D209" s="161">
        <v>1440</v>
      </c>
      <c r="E209" s="161">
        <v>18</v>
      </c>
      <c r="F209" s="161">
        <v>80</v>
      </c>
      <c r="G209" s="161" t="s">
        <v>3388</v>
      </c>
      <c r="H209" s="161" t="s">
        <v>138</v>
      </c>
      <c r="I209" s="161">
        <v>65</v>
      </c>
      <c r="J209" s="21" t="s">
        <v>389</v>
      </c>
      <c r="K209" s="21" t="s">
        <v>106</v>
      </c>
      <c r="L209" s="161" t="s">
        <v>3380</v>
      </c>
      <c r="M209" s="21" t="s">
        <v>3387</v>
      </c>
      <c r="N209" s="161" t="s">
        <v>67</v>
      </c>
      <c r="O209" s="21" t="s">
        <v>1630</v>
      </c>
      <c r="P209" s="161" t="s">
        <v>109</v>
      </c>
      <c r="Q209" s="21" t="s">
        <v>70</v>
      </c>
      <c r="R209" s="161">
        <v>80</v>
      </c>
      <c r="S209" s="161" t="s">
        <v>3385</v>
      </c>
      <c r="T209" s="161" t="s">
        <v>141</v>
      </c>
      <c r="U209" s="161" t="s">
        <v>73</v>
      </c>
      <c r="V209" s="21" t="s">
        <v>1632</v>
      </c>
      <c r="W209" s="21" t="s">
        <v>1633</v>
      </c>
      <c r="X209" s="161" t="s">
        <v>3384</v>
      </c>
      <c r="Y209" s="161">
        <v>5.4599999999999996E-3</v>
      </c>
      <c r="Z209" s="161">
        <v>0.8</v>
      </c>
      <c r="AA209" s="161" t="s">
        <v>1639</v>
      </c>
      <c r="AB209" s="161" t="s">
        <v>114</v>
      </c>
      <c r="AC209" s="266" t="str">
        <f>HYPERLINK("https://gcsvt.ru/svetodiodnyie-svetilniki/svt-p-i-v2-400-18w-ip65-m-inbat-2h/","Ссылка")</f>
        <v>Ссылка</v>
      </c>
      <c r="AD209" s="170" t="s">
        <v>2859</v>
      </c>
    </row>
    <row r="210" spans="1:30" s="161" customFormat="1" ht="39.950000000000003" hidden="1" customHeight="1" outlineLevel="1" x14ac:dyDescent="0.25">
      <c r="A210" s="21"/>
      <c r="B210" s="21" t="s">
        <v>2289</v>
      </c>
      <c r="C210" s="159" t="s">
        <v>2290</v>
      </c>
      <c r="D210" s="161">
        <v>3500</v>
      </c>
      <c r="E210" s="161">
        <v>35</v>
      </c>
      <c r="F210" s="161">
        <v>100</v>
      </c>
      <c r="G210" s="161" t="s">
        <v>2291</v>
      </c>
      <c r="H210" s="161" t="s">
        <v>138</v>
      </c>
      <c r="I210" s="161">
        <v>65</v>
      </c>
      <c r="J210" s="21" t="s">
        <v>1637</v>
      </c>
      <c r="K210" s="21" t="s">
        <v>106</v>
      </c>
      <c r="L210" s="161" t="s">
        <v>3380</v>
      </c>
      <c r="M210" s="21" t="s">
        <v>1685</v>
      </c>
      <c r="N210" s="161" t="s">
        <v>67</v>
      </c>
      <c r="O210" s="21" t="s">
        <v>1553</v>
      </c>
      <c r="P210" s="161" t="s">
        <v>109</v>
      </c>
      <c r="Q210" s="21" t="s">
        <v>70</v>
      </c>
      <c r="R210" s="161">
        <v>80</v>
      </c>
      <c r="S210" s="161" t="s">
        <v>2292</v>
      </c>
      <c r="T210" s="161" t="s">
        <v>1692</v>
      </c>
      <c r="U210" s="161" t="s">
        <v>2007</v>
      </c>
      <c r="V210" s="21" t="s">
        <v>74</v>
      </c>
      <c r="W210" s="21" t="s">
        <v>112</v>
      </c>
      <c r="X210" s="161" t="s">
        <v>2137</v>
      </c>
      <c r="Y210" s="161">
        <v>5.4599999999999996E-3</v>
      </c>
      <c r="Z210" s="161">
        <v>1.43</v>
      </c>
      <c r="AA210" s="161" t="s">
        <v>1639</v>
      </c>
      <c r="AB210" s="161" t="s">
        <v>114</v>
      </c>
      <c r="AC210" s="266" t="str">
        <f>HYPERLINK("https://gcsvt.ru/svetodiodnyie-svetilniki/svt-p-ul-35w-inbat-2h/","Ссылка")</f>
        <v>Ссылка</v>
      </c>
      <c r="AD210" s="170" t="s">
        <v>2859</v>
      </c>
    </row>
    <row r="211" spans="1:30" s="161" customFormat="1" ht="39.950000000000003" customHeight="1" collapsed="1" x14ac:dyDescent="0.25">
      <c r="A211" s="208"/>
      <c r="B211" s="195" t="s">
        <v>3999</v>
      </c>
      <c r="C211" s="98"/>
      <c r="D211" s="75"/>
      <c r="E211" s="163"/>
      <c r="F211" s="163"/>
      <c r="G211" s="163"/>
      <c r="H211" s="163"/>
      <c r="I211" s="163"/>
      <c r="J211" s="163"/>
      <c r="K211" s="75"/>
      <c r="L211" s="163"/>
      <c r="M211" s="75"/>
      <c r="N211" s="163"/>
      <c r="O211" s="75"/>
      <c r="P211" s="163"/>
      <c r="Q211" s="75"/>
      <c r="R211" s="163"/>
      <c r="S211" s="163"/>
      <c r="T211" s="163"/>
      <c r="U211" s="163"/>
      <c r="V211" s="75"/>
      <c r="W211" s="75"/>
      <c r="X211" s="163"/>
      <c r="Y211" s="163"/>
      <c r="Z211" s="163"/>
      <c r="AA211" s="163"/>
      <c r="AB211" s="163"/>
      <c r="AC211" s="227"/>
      <c r="AD211" s="164"/>
    </row>
    <row r="212" spans="1:30" s="161" customFormat="1" ht="39.950000000000003" hidden="1" customHeight="1" outlineLevel="1" collapsed="1" x14ac:dyDescent="0.25">
      <c r="A212" s="21"/>
      <c r="B212" s="196" t="s">
        <v>4617</v>
      </c>
      <c r="C212" s="159"/>
      <c r="K212" s="21"/>
      <c r="M212" s="21"/>
      <c r="O212" s="21"/>
      <c r="Q212" s="21"/>
      <c r="V212" s="21"/>
      <c r="W212" s="21"/>
      <c r="AC212" s="228"/>
      <c r="AD212" s="167"/>
    </row>
    <row r="213" spans="1:30" s="161" customFormat="1" ht="39.950000000000003" hidden="1" customHeight="1" outlineLevel="2" x14ac:dyDescent="0.25">
      <c r="A213" s="21"/>
      <c r="B213" s="21" t="s">
        <v>2139</v>
      </c>
      <c r="C213" s="159" t="s">
        <v>2140</v>
      </c>
      <c r="D213" s="161">
        <v>2240</v>
      </c>
      <c r="E213" s="161">
        <v>16</v>
      </c>
      <c r="F213" s="161">
        <v>140</v>
      </c>
      <c r="G213" s="161" t="s">
        <v>2141</v>
      </c>
      <c r="H213" s="161" t="s">
        <v>138</v>
      </c>
      <c r="I213" s="161">
        <v>67</v>
      </c>
      <c r="J213" s="161" t="s">
        <v>389</v>
      </c>
      <c r="K213" s="21" t="s">
        <v>2142</v>
      </c>
      <c r="L213" s="161" t="s">
        <v>59</v>
      </c>
      <c r="M213" s="21" t="s">
        <v>1719</v>
      </c>
      <c r="N213" s="161" t="s">
        <v>2138</v>
      </c>
      <c r="O213" s="21" t="s">
        <v>139</v>
      </c>
      <c r="P213" s="161" t="s">
        <v>69</v>
      </c>
      <c r="Q213" s="21" t="s">
        <v>70</v>
      </c>
      <c r="R213" s="161">
        <v>80</v>
      </c>
      <c r="S213" s="146" t="s">
        <v>4447</v>
      </c>
      <c r="T213" s="146" t="s">
        <v>569</v>
      </c>
      <c r="U213" s="161" t="s">
        <v>73</v>
      </c>
      <c r="V213" s="21" t="s">
        <v>74</v>
      </c>
      <c r="W213" s="21" t="s">
        <v>112</v>
      </c>
      <c r="X213" s="161" t="s">
        <v>2144</v>
      </c>
      <c r="Y213" s="161">
        <v>5.3949999999999996E-3</v>
      </c>
      <c r="Z213" s="161">
        <v>0.8</v>
      </c>
      <c r="AA213" s="161" t="s">
        <v>77</v>
      </c>
      <c r="AB213" s="161" t="s">
        <v>114</v>
      </c>
      <c r="AC213" s="266" t="str">
        <f>HYPERLINK("https://gcsvt.ru/svetodiodnyie-svetilniki/svt-str-m-16w-lv-12v-dc/","Ссылка")</f>
        <v>Ссылка</v>
      </c>
      <c r="AD213" s="167">
        <v>6231</v>
      </c>
    </row>
    <row r="214" spans="1:30" s="161" customFormat="1" ht="39.950000000000003" hidden="1" customHeight="1" outlineLevel="2" x14ac:dyDescent="0.25">
      <c r="A214" s="21"/>
      <c r="B214" s="21" t="s">
        <v>2139</v>
      </c>
      <c r="C214" s="159" t="s">
        <v>2145</v>
      </c>
      <c r="D214" s="161">
        <v>2240</v>
      </c>
      <c r="E214" s="161">
        <v>16</v>
      </c>
      <c r="F214" s="161">
        <v>140</v>
      </c>
      <c r="G214" s="161" t="s">
        <v>2146</v>
      </c>
      <c r="H214" s="161" t="s">
        <v>138</v>
      </c>
      <c r="I214" s="161">
        <v>67</v>
      </c>
      <c r="J214" s="161" t="s">
        <v>389</v>
      </c>
      <c r="K214" s="21" t="s">
        <v>1876</v>
      </c>
      <c r="L214" s="161" t="s">
        <v>59</v>
      </c>
      <c r="M214" s="21" t="s">
        <v>1719</v>
      </c>
      <c r="N214" s="161" t="s">
        <v>2138</v>
      </c>
      <c r="O214" s="21" t="s">
        <v>139</v>
      </c>
      <c r="P214" s="161" t="s">
        <v>69</v>
      </c>
      <c r="Q214" s="21" t="s">
        <v>70</v>
      </c>
      <c r="R214" s="161">
        <v>80</v>
      </c>
      <c r="S214" s="146" t="s">
        <v>4447</v>
      </c>
      <c r="T214" s="146" t="s">
        <v>569</v>
      </c>
      <c r="U214" s="161" t="s">
        <v>73</v>
      </c>
      <c r="V214" s="21" t="s">
        <v>74</v>
      </c>
      <c r="W214" s="21" t="s">
        <v>112</v>
      </c>
      <c r="X214" s="161" t="s">
        <v>2144</v>
      </c>
      <c r="Y214" s="161">
        <v>5.3949999999999996E-3</v>
      </c>
      <c r="Z214" s="161">
        <v>0.8</v>
      </c>
      <c r="AA214" s="161" t="s">
        <v>77</v>
      </c>
      <c r="AB214" s="161" t="s">
        <v>114</v>
      </c>
      <c r="AC214" s="266" t="str">
        <f>HYPERLINK("https://gcsvt.ru/svetodiodnyie-svetilniki/svt-str-m-16w-lv-24v-dc/","Ссылка")</f>
        <v>Ссылка</v>
      </c>
      <c r="AD214" s="167">
        <v>6231</v>
      </c>
    </row>
    <row r="215" spans="1:30" s="161" customFormat="1" ht="39.950000000000003" hidden="1" customHeight="1" outlineLevel="2" x14ac:dyDescent="0.25">
      <c r="A215" s="21"/>
      <c r="B215" s="21" t="s">
        <v>2139</v>
      </c>
      <c r="C215" s="159" t="s">
        <v>2147</v>
      </c>
      <c r="D215" s="161">
        <v>2240</v>
      </c>
      <c r="E215" s="161">
        <v>16</v>
      </c>
      <c r="F215" s="161">
        <v>140</v>
      </c>
      <c r="G215" s="161" t="s">
        <v>2148</v>
      </c>
      <c r="H215" s="161" t="s">
        <v>138</v>
      </c>
      <c r="I215" s="161">
        <v>67</v>
      </c>
      <c r="J215" s="161" t="s">
        <v>389</v>
      </c>
      <c r="K215" s="21" t="s">
        <v>2149</v>
      </c>
      <c r="L215" s="161" t="s">
        <v>59</v>
      </c>
      <c r="M215" s="21" t="s">
        <v>1719</v>
      </c>
      <c r="N215" s="161" t="s">
        <v>2138</v>
      </c>
      <c r="O215" s="21" t="s">
        <v>139</v>
      </c>
      <c r="P215" s="161" t="s">
        <v>69</v>
      </c>
      <c r="Q215" s="21" t="s">
        <v>70</v>
      </c>
      <c r="R215" s="161">
        <v>80</v>
      </c>
      <c r="S215" s="146" t="s">
        <v>4447</v>
      </c>
      <c r="T215" s="146" t="s">
        <v>569</v>
      </c>
      <c r="U215" s="161" t="s">
        <v>73</v>
      </c>
      <c r="V215" s="21" t="s">
        <v>74</v>
      </c>
      <c r="W215" s="21" t="s">
        <v>112</v>
      </c>
      <c r="X215" s="161" t="s">
        <v>2144</v>
      </c>
      <c r="Y215" s="161">
        <v>5.3949999999999996E-3</v>
      </c>
      <c r="Z215" s="161">
        <v>0.8</v>
      </c>
      <c r="AA215" s="161" t="s">
        <v>77</v>
      </c>
      <c r="AB215" s="161" t="s">
        <v>114</v>
      </c>
      <c r="AC215" s="266" t="str">
        <f>HYPERLINK("https://gcsvt.ru/svetodiodnyie-svetilniki/svt-str-m-16w-lv-36v-dc/","Ссылка")</f>
        <v>Ссылка</v>
      </c>
      <c r="AD215" s="167">
        <v>6231</v>
      </c>
    </row>
    <row r="216" spans="1:30" s="161" customFormat="1" ht="39.950000000000003" hidden="1" customHeight="1" outlineLevel="2" x14ac:dyDescent="0.25">
      <c r="A216" s="21"/>
      <c r="B216" s="21" t="s">
        <v>2139</v>
      </c>
      <c r="C216" s="159" t="s">
        <v>2150</v>
      </c>
      <c r="D216" s="161">
        <v>2240</v>
      </c>
      <c r="E216" s="161">
        <v>16</v>
      </c>
      <c r="F216" s="161">
        <v>140</v>
      </c>
      <c r="G216" s="161" t="s">
        <v>2151</v>
      </c>
      <c r="H216" s="161" t="s">
        <v>138</v>
      </c>
      <c r="I216" s="161">
        <v>67</v>
      </c>
      <c r="J216" s="161" t="s">
        <v>389</v>
      </c>
      <c r="K216" s="21" t="s">
        <v>2152</v>
      </c>
      <c r="L216" s="161" t="s">
        <v>59</v>
      </c>
      <c r="M216" s="21" t="s">
        <v>1719</v>
      </c>
      <c r="N216" s="161" t="s">
        <v>2138</v>
      </c>
      <c r="O216" s="21" t="s">
        <v>139</v>
      </c>
      <c r="P216" s="161" t="s">
        <v>69</v>
      </c>
      <c r="Q216" s="21" t="s">
        <v>70</v>
      </c>
      <c r="R216" s="161">
        <v>80</v>
      </c>
      <c r="S216" s="146" t="s">
        <v>4447</v>
      </c>
      <c r="T216" s="146" t="s">
        <v>569</v>
      </c>
      <c r="U216" s="161" t="s">
        <v>73</v>
      </c>
      <c r="V216" s="21" t="s">
        <v>74</v>
      </c>
      <c r="W216" s="21" t="s">
        <v>112</v>
      </c>
      <c r="X216" s="161" t="s">
        <v>2144</v>
      </c>
      <c r="Y216" s="161">
        <v>5.3949999999999996E-3</v>
      </c>
      <c r="Z216" s="161">
        <v>0.8</v>
      </c>
      <c r="AA216" s="161" t="s">
        <v>77</v>
      </c>
      <c r="AB216" s="161" t="s">
        <v>114</v>
      </c>
      <c r="AC216" s="266" t="str">
        <f>HYPERLINK("https://gcsvt.ru/svetodiodnyie-svetilniki/svt-str-m-16w-lv-12v-ac/","Ссылка")</f>
        <v>Ссылка</v>
      </c>
      <c r="AD216" s="167">
        <v>6231</v>
      </c>
    </row>
    <row r="217" spans="1:30" s="161" customFormat="1" ht="39.950000000000003" hidden="1" customHeight="1" outlineLevel="2" x14ac:dyDescent="0.25">
      <c r="A217" s="21"/>
      <c r="B217" s="21" t="s">
        <v>2139</v>
      </c>
      <c r="C217" s="159" t="s">
        <v>2153</v>
      </c>
      <c r="D217" s="161">
        <v>2240</v>
      </c>
      <c r="E217" s="161">
        <v>16</v>
      </c>
      <c r="F217" s="161">
        <v>140</v>
      </c>
      <c r="G217" s="161" t="s">
        <v>2154</v>
      </c>
      <c r="H217" s="161" t="s">
        <v>138</v>
      </c>
      <c r="I217" s="161">
        <v>67</v>
      </c>
      <c r="J217" s="161" t="s">
        <v>389</v>
      </c>
      <c r="K217" s="21" t="s">
        <v>2155</v>
      </c>
      <c r="L217" s="161" t="s">
        <v>59</v>
      </c>
      <c r="M217" s="21" t="s">
        <v>1719</v>
      </c>
      <c r="N217" s="161" t="s">
        <v>2138</v>
      </c>
      <c r="O217" s="21" t="s">
        <v>139</v>
      </c>
      <c r="P217" s="161" t="s">
        <v>69</v>
      </c>
      <c r="Q217" s="21" t="s">
        <v>70</v>
      </c>
      <c r="R217" s="161">
        <v>80</v>
      </c>
      <c r="S217" s="146" t="s">
        <v>4447</v>
      </c>
      <c r="T217" s="146" t="s">
        <v>569</v>
      </c>
      <c r="U217" s="161" t="s">
        <v>73</v>
      </c>
      <c r="V217" s="21" t="s">
        <v>74</v>
      </c>
      <c r="W217" s="21" t="s">
        <v>112</v>
      </c>
      <c r="X217" s="161" t="s">
        <v>2144</v>
      </c>
      <c r="Y217" s="161">
        <v>5.3949999999999996E-3</v>
      </c>
      <c r="Z217" s="161">
        <v>0.8</v>
      </c>
      <c r="AA217" s="161" t="s">
        <v>77</v>
      </c>
      <c r="AB217" s="161" t="s">
        <v>114</v>
      </c>
      <c r="AC217" s="266" t="str">
        <f>HYPERLINK("https://gcsvt.ru/svetodiodnyie-svetilniki/svt-str-m-16w-lv-24v-ac/","Ссылка")</f>
        <v>Ссылка</v>
      </c>
      <c r="AD217" s="167">
        <v>6231</v>
      </c>
    </row>
    <row r="218" spans="1:30" s="161" customFormat="1" ht="39.950000000000003" hidden="1" customHeight="1" outlineLevel="2" x14ac:dyDescent="0.25">
      <c r="A218" s="21"/>
      <c r="B218" s="21" t="s">
        <v>2139</v>
      </c>
      <c r="C218" s="159" t="s">
        <v>2156</v>
      </c>
      <c r="D218" s="161">
        <v>2240</v>
      </c>
      <c r="E218" s="161">
        <v>16</v>
      </c>
      <c r="F218" s="161">
        <v>140</v>
      </c>
      <c r="G218" s="161" t="s">
        <v>2157</v>
      </c>
      <c r="H218" s="161" t="s">
        <v>138</v>
      </c>
      <c r="I218" s="161">
        <v>67</v>
      </c>
      <c r="J218" s="161" t="s">
        <v>389</v>
      </c>
      <c r="K218" s="21" t="s">
        <v>2158</v>
      </c>
      <c r="L218" s="161" t="s">
        <v>59</v>
      </c>
      <c r="M218" s="21" t="s">
        <v>1719</v>
      </c>
      <c r="N218" s="161" t="s">
        <v>2138</v>
      </c>
      <c r="O218" s="21" t="s">
        <v>139</v>
      </c>
      <c r="P218" s="161" t="s">
        <v>69</v>
      </c>
      <c r="Q218" s="21" t="s">
        <v>70</v>
      </c>
      <c r="R218" s="161">
        <v>80</v>
      </c>
      <c r="S218" s="146" t="s">
        <v>4447</v>
      </c>
      <c r="T218" s="146" t="s">
        <v>569</v>
      </c>
      <c r="U218" s="161" t="s">
        <v>73</v>
      </c>
      <c r="V218" s="21" t="s">
        <v>74</v>
      </c>
      <c r="W218" s="21" t="s">
        <v>112</v>
      </c>
      <c r="X218" s="161" t="s">
        <v>2144</v>
      </c>
      <c r="Y218" s="161">
        <v>5.3949999999999996E-3</v>
      </c>
      <c r="Z218" s="161">
        <v>0.8</v>
      </c>
      <c r="AA218" s="161" t="s">
        <v>77</v>
      </c>
      <c r="AB218" s="161" t="s">
        <v>114</v>
      </c>
      <c r="AC218" s="266" t="str">
        <f>HYPERLINK("https://gcsvt.ru/svetodiodnyie-svetilniki/svt-str-m-16w-lv-36v-ac/","Ссылка")</f>
        <v>Ссылка</v>
      </c>
      <c r="AD218" s="167">
        <v>6231</v>
      </c>
    </row>
    <row r="219" spans="1:30" s="161" customFormat="1" ht="39.950000000000003" hidden="1" customHeight="1" outlineLevel="2" x14ac:dyDescent="0.25">
      <c r="A219" s="21"/>
      <c r="B219" s="21" t="s">
        <v>2139</v>
      </c>
      <c r="C219" s="159" t="s">
        <v>2159</v>
      </c>
      <c r="D219" s="161">
        <v>3240</v>
      </c>
      <c r="E219" s="161">
        <v>24</v>
      </c>
      <c r="F219" s="161">
        <v>135</v>
      </c>
      <c r="G219" s="161" t="s">
        <v>2160</v>
      </c>
      <c r="H219" s="161" t="s">
        <v>138</v>
      </c>
      <c r="I219" s="161">
        <v>67</v>
      </c>
      <c r="J219" s="161" t="s">
        <v>389</v>
      </c>
      <c r="K219" s="21" t="s">
        <v>2142</v>
      </c>
      <c r="L219" s="161" t="s">
        <v>59</v>
      </c>
      <c r="M219" s="21" t="s">
        <v>1719</v>
      </c>
      <c r="N219" s="161" t="s">
        <v>2138</v>
      </c>
      <c r="O219" s="21" t="s">
        <v>139</v>
      </c>
      <c r="P219" s="161" t="s">
        <v>69</v>
      </c>
      <c r="Q219" s="21" t="s">
        <v>70</v>
      </c>
      <c r="R219" s="161">
        <v>80</v>
      </c>
      <c r="S219" s="146" t="s">
        <v>4447</v>
      </c>
      <c r="T219" s="146" t="s">
        <v>4448</v>
      </c>
      <c r="U219" s="161" t="s">
        <v>73</v>
      </c>
      <c r="V219" s="21" t="s">
        <v>74</v>
      </c>
      <c r="W219" s="21" t="s">
        <v>112</v>
      </c>
      <c r="X219" s="161" t="s">
        <v>2144</v>
      </c>
      <c r="Y219" s="161">
        <v>5.3949999999999996E-3</v>
      </c>
      <c r="Z219" s="161">
        <v>0.8</v>
      </c>
      <c r="AA219" s="161" t="s">
        <v>77</v>
      </c>
      <c r="AB219" s="161" t="s">
        <v>114</v>
      </c>
      <c r="AC219" s="266" t="str">
        <f>HYPERLINK("https://gcsvt.ru/svetodiodnyie-svetilniki/svt-str-m-24w-lv-12v-dc/","Ссылка")</f>
        <v>Ссылка</v>
      </c>
      <c r="AD219" s="167">
        <v>6528</v>
      </c>
    </row>
    <row r="220" spans="1:30" s="161" customFormat="1" ht="39.950000000000003" hidden="1" customHeight="1" outlineLevel="2" x14ac:dyDescent="0.25">
      <c r="A220" s="21"/>
      <c r="B220" s="21" t="s">
        <v>2139</v>
      </c>
      <c r="C220" s="159" t="s">
        <v>2161</v>
      </c>
      <c r="D220" s="161">
        <v>3240</v>
      </c>
      <c r="E220" s="161">
        <v>24</v>
      </c>
      <c r="F220" s="161">
        <v>135</v>
      </c>
      <c r="G220" s="161" t="s">
        <v>2162</v>
      </c>
      <c r="H220" s="161" t="s">
        <v>138</v>
      </c>
      <c r="I220" s="161">
        <v>67</v>
      </c>
      <c r="J220" s="161" t="s">
        <v>389</v>
      </c>
      <c r="K220" s="21" t="s">
        <v>1876</v>
      </c>
      <c r="L220" s="161" t="s">
        <v>59</v>
      </c>
      <c r="M220" s="21" t="s">
        <v>1719</v>
      </c>
      <c r="N220" s="161" t="s">
        <v>2138</v>
      </c>
      <c r="O220" s="21" t="s">
        <v>139</v>
      </c>
      <c r="P220" s="161" t="s">
        <v>69</v>
      </c>
      <c r="Q220" s="21" t="s">
        <v>70</v>
      </c>
      <c r="R220" s="161">
        <v>80</v>
      </c>
      <c r="S220" s="146" t="s">
        <v>4447</v>
      </c>
      <c r="T220" s="146" t="s">
        <v>4448</v>
      </c>
      <c r="U220" s="161" t="s">
        <v>73</v>
      </c>
      <c r="V220" s="21" t="s">
        <v>74</v>
      </c>
      <c r="W220" s="21" t="s">
        <v>112</v>
      </c>
      <c r="X220" s="161" t="s">
        <v>2144</v>
      </c>
      <c r="Y220" s="161">
        <v>5.3949999999999996E-3</v>
      </c>
      <c r="Z220" s="161">
        <v>0.8</v>
      </c>
      <c r="AA220" s="161" t="s">
        <v>77</v>
      </c>
      <c r="AB220" s="161" t="s">
        <v>114</v>
      </c>
      <c r="AC220" s="266" t="str">
        <f>HYPERLINK("https://gcsvt.ru/svetodiodnyie-svetilniki/svt-str-m-24w-lv-24v-dc/","Ссылка")</f>
        <v>Ссылка</v>
      </c>
      <c r="AD220" s="167">
        <v>6528</v>
      </c>
    </row>
    <row r="221" spans="1:30" s="161" customFormat="1" ht="39.950000000000003" hidden="1" customHeight="1" outlineLevel="2" x14ac:dyDescent="0.25">
      <c r="A221" s="21"/>
      <c r="B221" s="21" t="s">
        <v>2139</v>
      </c>
      <c r="C221" s="159" t="s">
        <v>2163</v>
      </c>
      <c r="D221" s="161">
        <v>3240</v>
      </c>
      <c r="E221" s="161">
        <v>24</v>
      </c>
      <c r="F221" s="161">
        <v>135</v>
      </c>
      <c r="G221" s="161" t="s">
        <v>2164</v>
      </c>
      <c r="H221" s="161" t="s">
        <v>138</v>
      </c>
      <c r="I221" s="161">
        <v>67</v>
      </c>
      <c r="J221" s="161" t="s">
        <v>389</v>
      </c>
      <c r="K221" s="21" t="s">
        <v>2149</v>
      </c>
      <c r="L221" s="161" t="s">
        <v>59</v>
      </c>
      <c r="M221" s="21" t="s">
        <v>1719</v>
      </c>
      <c r="N221" s="161" t="s">
        <v>2138</v>
      </c>
      <c r="O221" s="21" t="s">
        <v>139</v>
      </c>
      <c r="P221" s="161" t="s">
        <v>69</v>
      </c>
      <c r="Q221" s="21" t="s">
        <v>70</v>
      </c>
      <c r="R221" s="161">
        <v>80</v>
      </c>
      <c r="S221" s="146" t="s">
        <v>4447</v>
      </c>
      <c r="T221" s="146" t="s">
        <v>4448</v>
      </c>
      <c r="U221" s="161" t="s">
        <v>73</v>
      </c>
      <c r="V221" s="21" t="s">
        <v>74</v>
      </c>
      <c r="W221" s="21" t="s">
        <v>112</v>
      </c>
      <c r="X221" s="161" t="s">
        <v>2144</v>
      </c>
      <c r="Y221" s="161">
        <v>5.3949999999999996E-3</v>
      </c>
      <c r="Z221" s="161">
        <v>0.8</v>
      </c>
      <c r="AA221" s="161" t="s">
        <v>77</v>
      </c>
      <c r="AB221" s="161" t="s">
        <v>114</v>
      </c>
      <c r="AC221" s="266" t="str">
        <f>HYPERLINK("https://gcsvt.ru/svetodiodnyie-svetilniki/svt-str-m-24w-lv-36v-dc/","Ссылка")</f>
        <v>Ссылка</v>
      </c>
      <c r="AD221" s="167">
        <v>6528</v>
      </c>
    </row>
    <row r="222" spans="1:30" s="161" customFormat="1" ht="39.950000000000003" hidden="1" customHeight="1" outlineLevel="2" x14ac:dyDescent="0.25">
      <c r="A222" s="21"/>
      <c r="B222" s="21" t="s">
        <v>2139</v>
      </c>
      <c r="C222" s="159" t="s">
        <v>2165</v>
      </c>
      <c r="D222" s="161">
        <v>3240</v>
      </c>
      <c r="E222" s="161">
        <v>24</v>
      </c>
      <c r="F222" s="161">
        <v>135</v>
      </c>
      <c r="G222" s="161" t="s">
        <v>2166</v>
      </c>
      <c r="H222" s="161" t="s">
        <v>138</v>
      </c>
      <c r="I222" s="161">
        <v>67</v>
      </c>
      <c r="J222" s="161" t="s">
        <v>389</v>
      </c>
      <c r="K222" s="21" t="s">
        <v>2152</v>
      </c>
      <c r="L222" s="161" t="s">
        <v>59</v>
      </c>
      <c r="M222" s="21" t="s">
        <v>1719</v>
      </c>
      <c r="N222" s="161" t="s">
        <v>2138</v>
      </c>
      <c r="O222" s="21" t="s">
        <v>139</v>
      </c>
      <c r="P222" s="161" t="s">
        <v>69</v>
      </c>
      <c r="Q222" s="21" t="s">
        <v>70</v>
      </c>
      <c r="R222" s="161">
        <v>80</v>
      </c>
      <c r="S222" s="146" t="s">
        <v>4447</v>
      </c>
      <c r="T222" s="146" t="s">
        <v>4448</v>
      </c>
      <c r="U222" s="161" t="s">
        <v>73</v>
      </c>
      <c r="V222" s="21" t="s">
        <v>74</v>
      </c>
      <c r="W222" s="21" t="s">
        <v>112</v>
      </c>
      <c r="X222" s="161" t="s">
        <v>2144</v>
      </c>
      <c r="Y222" s="161">
        <v>5.3949999999999996E-3</v>
      </c>
      <c r="Z222" s="161">
        <v>0.8</v>
      </c>
      <c r="AA222" s="161" t="s">
        <v>77</v>
      </c>
      <c r="AB222" s="161" t="s">
        <v>114</v>
      </c>
      <c r="AC222" s="266" t="str">
        <f>HYPERLINK("https://gcsvt.ru/svetodiodnyie-svetilniki/svt-str-m-24w-lv-12v-ac/","Ссылка")</f>
        <v>Ссылка</v>
      </c>
      <c r="AD222" s="167">
        <v>6528</v>
      </c>
    </row>
    <row r="223" spans="1:30" s="161" customFormat="1" ht="39.950000000000003" hidden="1" customHeight="1" outlineLevel="2" x14ac:dyDescent="0.25">
      <c r="A223" s="21"/>
      <c r="B223" s="21" t="s">
        <v>2139</v>
      </c>
      <c r="C223" s="159" t="s">
        <v>2167</v>
      </c>
      <c r="D223" s="161">
        <v>3240</v>
      </c>
      <c r="E223" s="161">
        <v>24</v>
      </c>
      <c r="F223" s="161">
        <v>135</v>
      </c>
      <c r="G223" s="161" t="s">
        <v>2168</v>
      </c>
      <c r="H223" s="161" t="s">
        <v>138</v>
      </c>
      <c r="I223" s="161">
        <v>67</v>
      </c>
      <c r="J223" s="161" t="s">
        <v>389</v>
      </c>
      <c r="K223" s="21" t="s">
        <v>2155</v>
      </c>
      <c r="L223" s="161" t="s">
        <v>59</v>
      </c>
      <c r="M223" s="21" t="s">
        <v>1719</v>
      </c>
      <c r="N223" s="161" t="s">
        <v>2138</v>
      </c>
      <c r="O223" s="21" t="s">
        <v>139</v>
      </c>
      <c r="P223" s="161" t="s">
        <v>69</v>
      </c>
      <c r="Q223" s="21" t="s">
        <v>70</v>
      </c>
      <c r="R223" s="161">
        <v>80</v>
      </c>
      <c r="S223" s="146" t="s">
        <v>4447</v>
      </c>
      <c r="T223" s="146" t="s">
        <v>4448</v>
      </c>
      <c r="U223" s="161" t="s">
        <v>73</v>
      </c>
      <c r="V223" s="21" t="s">
        <v>74</v>
      </c>
      <c r="W223" s="21" t="s">
        <v>112</v>
      </c>
      <c r="X223" s="161" t="s">
        <v>2144</v>
      </c>
      <c r="Y223" s="161">
        <v>5.3949999999999996E-3</v>
      </c>
      <c r="Z223" s="161">
        <v>0.8</v>
      </c>
      <c r="AA223" s="161" t="s">
        <v>77</v>
      </c>
      <c r="AB223" s="161" t="s">
        <v>114</v>
      </c>
      <c r="AC223" s="266" t="str">
        <f>HYPERLINK("https://gcsvt.ru/svetodiodnyie-svetilniki/svt-str-m-24w-lv-24v-ac/","Ссылка")</f>
        <v>Ссылка</v>
      </c>
      <c r="AD223" s="167">
        <v>6528</v>
      </c>
    </row>
    <row r="224" spans="1:30" s="161" customFormat="1" ht="39.950000000000003" hidden="1" customHeight="1" outlineLevel="2" x14ac:dyDescent="0.25">
      <c r="A224" s="21"/>
      <c r="B224" s="21" t="s">
        <v>2139</v>
      </c>
      <c r="C224" s="159" t="s">
        <v>2169</v>
      </c>
      <c r="D224" s="161">
        <v>3240</v>
      </c>
      <c r="E224" s="161">
        <v>24</v>
      </c>
      <c r="F224" s="161">
        <v>135</v>
      </c>
      <c r="G224" s="161" t="s">
        <v>2170</v>
      </c>
      <c r="H224" s="161" t="s">
        <v>138</v>
      </c>
      <c r="I224" s="161">
        <v>67</v>
      </c>
      <c r="J224" s="161" t="s">
        <v>389</v>
      </c>
      <c r="K224" s="21" t="s">
        <v>2158</v>
      </c>
      <c r="L224" s="161" t="s">
        <v>59</v>
      </c>
      <c r="M224" s="21" t="s">
        <v>1719</v>
      </c>
      <c r="N224" s="161" t="s">
        <v>2138</v>
      </c>
      <c r="O224" s="21" t="s">
        <v>139</v>
      </c>
      <c r="P224" s="161" t="s">
        <v>69</v>
      </c>
      <c r="Q224" s="21" t="s">
        <v>70</v>
      </c>
      <c r="R224" s="161">
        <v>80</v>
      </c>
      <c r="S224" s="146" t="s">
        <v>4447</v>
      </c>
      <c r="T224" s="146" t="s">
        <v>4448</v>
      </c>
      <c r="U224" s="161" t="s">
        <v>73</v>
      </c>
      <c r="V224" s="21" t="s">
        <v>74</v>
      </c>
      <c r="W224" s="21" t="s">
        <v>112</v>
      </c>
      <c r="X224" s="161" t="s">
        <v>2144</v>
      </c>
      <c r="Y224" s="161">
        <v>5.3949999999999996E-3</v>
      </c>
      <c r="Z224" s="161">
        <v>0.8</v>
      </c>
      <c r="AA224" s="161" t="s">
        <v>77</v>
      </c>
      <c r="AB224" s="161" t="s">
        <v>114</v>
      </c>
      <c r="AC224" s="266" t="str">
        <f>HYPERLINK("https://gcsvt.ru/svetodiodnyie-svetilniki/svt-str-m-24w-lv-36v-ac/","Ссылка")</f>
        <v>Ссылка</v>
      </c>
      <c r="AD224" s="167">
        <v>6528</v>
      </c>
    </row>
    <row r="225" spans="1:30" s="161" customFormat="1" ht="39.950000000000003" hidden="1" customHeight="1" outlineLevel="2" x14ac:dyDescent="0.25">
      <c r="A225" s="21"/>
      <c r="B225" s="21" t="s">
        <v>2139</v>
      </c>
      <c r="C225" s="159" t="s">
        <v>2171</v>
      </c>
      <c r="D225" s="161">
        <v>4160</v>
      </c>
      <c r="E225" s="161">
        <v>32</v>
      </c>
      <c r="F225" s="161">
        <v>130</v>
      </c>
      <c r="G225" s="161" t="s">
        <v>2172</v>
      </c>
      <c r="H225" s="161" t="s">
        <v>138</v>
      </c>
      <c r="I225" s="161">
        <v>67</v>
      </c>
      <c r="J225" s="161" t="s">
        <v>389</v>
      </c>
      <c r="K225" s="21" t="s">
        <v>2142</v>
      </c>
      <c r="L225" s="161" t="s">
        <v>59</v>
      </c>
      <c r="M225" s="21" t="s">
        <v>1719</v>
      </c>
      <c r="N225" s="161" t="s">
        <v>2138</v>
      </c>
      <c r="O225" s="21" t="s">
        <v>139</v>
      </c>
      <c r="P225" s="161" t="s">
        <v>69</v>
      </c>
      <c r="Q225" s="21" t="s">
        <v>70</v>
      </c>
      <c r="R225" s="161">
        <v>80</v>
      </c>
      <c r="S225" s="146" t="s">
        <v>4447</v>
      </c>
      <c r="T225" s="146" t="s">
        <v>141</v>
      </c>
      <c r="U225" s="161" t="s">
        <v>73</v>
      </c>
      <c r="V225" s="21" t="s">
        <v>74</v>
      </c>
      <c r="W225" s="21" t="s">
        <v>112</v>
      </c>
      <c r="X225" s="161" t="s">
        <v>2144</v>
      </c>
      <c r="Y225" s="161">
        <v>5.3949999999999996E-3</v>
      </c>
      <c r="Z225" s="161">
        <v>0.8</v>
      </c>
      <c r="AA225" s="161" t="s">
        <v>77</v>
      </c>
      <c r="AB225" s="161" t="s">
        <v>114</v>
      </c>
      <c r="AC225" s="266" t="str">
        <f>HYPERLINK("https://gcsvt.ru/svetodiodnyie-svetilniki/svt-str-m-32w-lv-12v-dc/","Ссылка")</f>
        <v>Ссылка</v>
      </c>
      <c r="AD225" s="167">
        <v>7123</v>
      </c>
    </row>
    <row r="226" spans="1:30" s="161" customFormat="1" ht="39.950000000000003" hidden="1" customHeight="1" outlineLevel="2" x14ac:dyDescent="0.25">
      <c r="A226" s="21"/>
      <c r="B226" s="21" t="s">
        <v>2139</v>
      </c>
      <c r="C226" s="159" t="s">
        <v>2173</v>
      </c>
      <c r="D226" s="161">
        <v>4160</v>
      </c>
      <c r="E226" s="161">
        <v>32</v>
      </c>
      <c r="F226" s="161">
        <v>130</v>
      </c>
      <c r="G226" s="161" t="s">
        <v>2174</v>
      </c>
      <c r="H226" s="161" t="s">
        <v>138</v>
      </c>
      <c r="I226" s="161">
        <v>67</v>
      </c>
      <c r="J226" s="161" t="s">
        <v>389</v>
      </c>
      <c r="K226" s="21" t="s">
        <v>1876</v>
      </c>
      <c r="L226" s="161" t="s">
        <v>59</v>
      </c>
      <c r="M226" s="21" t="s">
        <v>1719</v>
      </c>
      <c r="N226" s="161" t="s">
        <v>2138</v>
      </c>
      <c r="O226" s="21" t="s">
        <v>139</v>
      </c>
      <c r="P226" s="161" t="s">
        <v>69</v>
      </c>
      <c r="Q226" s="21" t="s">
        <v>70</v>
      </c>
      <c r="R226" s="161">
        <v>80</v>
      </c>
      <c r="S226" s="146" t="s">
        <v>4447</v>
      </c>
      <c r="T226" s="146" t="s">
        <v>141</v>
      </c>
      <c r="U226" s="161" t="s">
        <v>73</v>
      </c>
      <c r="V226" s="21" t="s">
        <v>74</v>
      </c>
      <c r="W226" s="21" t="s">
        <v>112</v>
      </c>
      <c r="X226" s="161" t="s">
        <v>2144</v>
      </c>
      <c r="Y226" s="161">
        <v>5.3949999999999996E-3</v>
      </c>
      <c r="Z226" s="161">
        <v>0.8</v>
      </c>
      <c r="AA226" s="161" t="s">
        <v>77</v>
      </c>
      <c r="AB226" s="161" t="s">
        <v>114</v>
      </c>
      <c r="AC226" s="266" t="str">
        <f>HYPERLINK("https://gcsvt.ru/svetodiodnyie-svetilniki/svt-str-m-32w-lv-24v-dc/","Ссылка")</f>
        <v>Ссылка</v>
      </c>
      <c r="AD226" s="167">
        <v>7123</v>
      </c>
    </row>
    <row r="227" spans="1:30" s="161" customFormat="1" ht="39.950000000000003" hidden="1" customHeight="1" outlineLevel="2" x14ac:dyDescent="0.25">
      <c r="A227" s="21"/>
      <c r="B227" s="21" t="s">
        <v>2139</v>
      </c>
      <c r="C227" s="159" t="s">
        <v>2175</v>
      </c>
      <c r="D227" s="161">
        <v>4160</v>
      </c>
      <c r="E227" s="161">
        <v>32</v>
      </c>
      <c r="F227" s="161">
        <v>130</v>
      </c>
      <c r="G227" s="161" t="s">
        <v>2176</v>
      </c>
      <c r="H227" s="161" t="s">
        <v>138</v>
      </c>
      <c r="I227" s="161">
        <v>67</v>
      </c>
      <c r="J227" s="161" t="s">
        <v>389</v>
      </c>
      <c r="K227" s="21" t="s">
        <v>2149</v>
      </c>
      <c r="L227" s="161" t="s">
        <v>59</v>
      </c>
      <c r="M227" s="21" t="s">
        <v>1719</v>
      </c>
      <c r="N227" s="161" t="s">
        <v>2138</v>
      </c>
      <c r="O227" s="21" t="s">
        <v>139</v>
      </c>
      <c r="P227" s="161" t="s">
        <v>69</v>
      </c>
      <c r="Q227" s="21" t="s">
        <v>70</v>
      </c>
      <c r="R227" s="161">
        <v>80</v>
      </c>
      <c r="S227" s="146" t="s">
        <v>4447</v>
      </c>
      <c r="T227" s="146" t="s">
        <v>141</v>
      </c>
      <c r="U227" s="161" t="s">
        <v>73</v>
      </c>
      <c r="V227" s="21" t="s">
        <v>74</v>
      </c>
      <c r="W227" s="21" t="s">
        <v>112</v>
      </c>
      <c r="X227" s="161" t="s">
        <v>2144</v>
      </c>
      <c r="Y227" s="161">
        <v>5.3949999999999996E-3</v>
      </c>
      <c r="Z227" s="161">
        <v>0.8</v>
      </c>
      <c r="AA227" s="161" t="s">
        <v>77</v>
      </c>
      <c r="AB227" s="161" t="s">
        <v>114</v>
      </c>
      <c r="AC227" s="266" t="str">
        <f>HYPERLINK("https://gcsvt.ru/svetodiodnyie-svetilniki/svt-str-m-32w-lv-36v-dc/","Ссылка")</f>
        <v>Ссылка</v>
      </c>
      <c r="AD227" s="167">
        <v>7123</v>
      </c>
    </row>
    <row r="228" spans="1:30" s="161" customFormat="1" ht="39.950000000000003" hidden="1" customHeight="1" outlineLevel="2" x14ac:dyDescent="0.25">
      <c r="A228" s="21"/>
      <c r="B228" s="21" t="s">
        <v>2139</v>
      </c>
      <c r="C228" s="159" t="s">
        <v>2177</v>
      </c>
      <c r="D228" s="161">
        <v>4160</v>
      </c>
      <c r="E228" s="161">
        <v>32</v>
      </c>
      <c r="F228" s="161">
        <v>130</v>
      </c>
      <c r="G228" s="161" t="s">
        <v>2178</v>
      </c>
      <c r="H228" s="161" t="s">
        <v>138</v>
      </c>
      <c r="I228" s="161">
        <v>67</v>
      </c>
      <c r="J228" s="161" t="s">
        <v>389</v>
      </c>
      <c r="K228" s="21" t="s">
        <v>2152</v>
      </c>
      <c r="L228" s="161" t="s">
        <v>59</v>
      </c>
      <c r="M228" s="21" t="s">
        <v>1719</v>
      </c>
      <c r="N228" s="161" t="s">
        <v>2138</v>
      </c>
      <c r="O228" s="21" t="s">
        <v>139</v>
      </c>
      <c r="P228" s="161" t="s">
        <v>69</v>
      </c>
      <c r="Q228" s="21" t="s">
        <v>70</v>
      </c>
      <c r="R228" s="161">
        <v>80</v>
      </c>
      <c r="S228" s="146" t="s">
        <v>4447</v>
      </c>
      <c r="T228" s="146" t="s">
        <v>141</v>
      </c>
      <c r="U228" s="161" t="s">
        <v>73</v>
      </c>
      <c r="V228" s="21" t="s">
        <v>74</v>
      </c>
      <c r="W228" s="21" t="s">
        <v>112</v>
      </c>
      <c r="X228" s="161" t="s">
        <v>2144</v>
      </c>
      <c r="Y228" s="161">
        <v>5.3949999999999996E-3</v>
      </c>
      <c r="Z228" s="161">
        <v>0.8</v>
      </c>
      <c r="AA228" s="161" t="s">
        <v>77</v>
      </c>
      <c r="AB228" s="161" t="s">
        <v>114</v>
      </c>
      <c r="AC228" s="266" t="str">
        <f>HYPERLINK("https://gcsvt.ru/svetodiodnyie-svetilniki/svt-str-m-32w-lv-12v-ac/","Ссылка")</f>
        <v>Ссылка</v>
      </c>
      <c r="AD228" s="167">
        <v>7123</v>
      </c>
    </row>
    <row r="229" spans="1:30" s="161" customFormat="1" ht="39.950000000000003" hidden="1" customHeight="1" outlineLevel="2" x14ac:dyDescent="0.25">
      <c r="A229" s="21"/>
      <c r="B229" s="21" t="s">
        <v>2139</v>
      </c>
      <c r="C229" s="159" t="s">
        <v>2179</v>
      </c>
      <c r="D229" s="161">
        <v>4160</v>
      </c>
      <c r="E229" s="161">
        <v>32</v>
      </c>
      <c r="F229" s="161">
        <v>130</v>
      </c>
      <c r="G229" s="161" t="s">
        <v>2180</v>
      </c>
      <c r="H229" s="161" t="s">
        <v>138</v>
      </c>
      <c r="I229" s="161">
        <v>67</v>
      </c>
      <c r="J229" s="161" t="s">
        <v>389</v>
      </c>
      <c r="K229" s="21" t="s">
        <v>2155</v>
      </c>
      <c r="L229" s="161" t="s">
        <v>59</v>
      </c>
      <c r="M229" s="21" t="s">
        <v>1719</v>
      </c>
      <c r="N229" s="161" t="s">
        <v>2138</v>
      </c>
      <c r="O229" s="21" t="s">
        <v>139</v>
      </c>
      <c r="P229" s="161" t="s">
        <v>69</v>
      </c>
      <c r="Q229" s="21" t="s">
        <v>70</v>
      </c>
      <c r="R229" s="161">
        <v>80</v>
      </c>
      <c r="S229" s="146" t="s">
        <v>4447</v>
      </c>
      <c r="T229" s="146" t="s">
        <v>141</v>
      </c>
      <c r="U229" s="161" t="s">
        <v>73</v>
      </c>
      <c r="V229" s="21" t="s">
        <v>74</v>
      </c>
      <c r="W229" s="21" t="s">
        <v>112</v>
      </c>
      <c r="X229" s="161" t="s">
        <v>2144</v>
      </c>
      <c r="Y229" s="161">
        <v>5.3949999999999996E-3</v>
      </c>
      <c r="Z229" s="161">
        <v>0.8</v>
      </c>
      <c r="AA229" s="161" t="s">
        <v>77</v>
      </c>
      <c r="AB229" s="161" t="s">
        <v>114</v>
      </c>
      <c r="AC229" s="266" t="str">
        <f>HYPERLINK("https://gcsvt.ru/svetodiodnyie-svetilniki/svt-str-m-32w-lv-24v-ac/","Ссылка")</f>
        <v>Ссылка</v>
      </c>
      <c r="AD229" s="167">
        <v>7123</v>
      </c>
    </row>
    <row r="230" spans="1:30" s="161" customFormat="1" ht="39.950000000000003" hidden="1" customHeight="1" outlineLevel="2" x14ac:dyDescent="0.25">
      <c r="A230" s="21"/>
      <c r="B230" s="21" t="s">
        <v>2139</v>
      </c>
      <c r="C230" s="159" t="s">
        <v>2181</v>
      </c>
      <c r="D230" s="161">
        <v>4160</v>
      </c>
      <c r="E230" s="161">
        <v>32</v>
      </c>
      <c r="F230" s="161">
        <v>130</v>
      </c>
      <c r="G230" s="161" t="s">
        <v>2182</v>
      </c>
      <c r="H230" s="161" t="s">
        <v>138</v>
      </c>
      <c r="I230" s="161">
        <v>67</v>
      </c>
      <c r="J230" s="161" t="s">
        <v>389</v>
      </c>
      <c r="K230" s="21" t="s">
        <v>2158</v>
      </c>
      <c r="L230" s="161" t="s">
        <v>59</v>
      </c>
      <c r="M230" s="21" t="s">
        <v>1719</v>
      </c>
      <c r="N230" s="161" t="s">
        <v>2138</v>
      </c>
      <c r="O230" s="21" t="s">
        <v>139</v>
      </c>
      <c r="P230" s="161" t="s">
        <v>69</v>
      </c>
      <c r="Q230" s="21" t="s">
        <v>70</v>
      </c>
      <c r="R230" s="161">
        <v>80</v>
      </c>
      <c r="S230" s="146" t="s">
        <v>4447</v>
      </c>
      <c r="T230" s="146" t="s">
        <v>141</v>
      </c>
      <c r="U230" s="161" t="s">
        <v>73</v>
      </c>
      <c r="V230" s="21" t="s">
        <v>74</v>
      </c>
      <c r="W230" s="21" t="s">
        <v>112</v>
      </c>
      <c r="X230" s="161" t="s">
        <v>2144</v>
      </c>
      <c r="Y230" s="161">
        <v>5.3949999999999996E-3</v>
      </c>
      <c r="Z230" s="161">
        <v>0.8</v>
      </c>
      <c r="AA230" s="161" t="s">
        <v>77</v>
      </c>
      <c r="AB230" s="161" t="s">
        <v>114</v>
      </c>
      <c r="AC230" s="266" t="str">
        <f>HYPERLINK("https://gcsvt.ru/svetodiodnyie-svetilniki/svt-str-m-32w-lv-36v-ac/","Ссылка")</f>
        <v>Ссылка</v>
      </c>
      <c r="AD230" s="167">
        <v>7123</v>
      </c>
    </row>
    <row r="231" spans="1:30" s="161" customFormat="1" ht="39.950000000000003" hidden="1" customHeight="1" outlineLevel="2" x14ac:dyDescent="0.25">
      <c r="A231" s="21"/>
      <c r="B231" s="47" t="s">
        <v>4467</v>
      </c>
      <c r="C231" s="159"/>
      <c r="K231" s="21"/>
      <c r="M231" s="21"/>
      <c r="O231" s="21"/>
      <c r="Q231" s="21"/>
      <c r="S231" s="146"/>
      <c r="T231" s="146"/>
      <c r="V231" s="21"/>
      <c r="W231" s="21"/>
      <c r="AC231" s="228"/>
      <c r="AD231" s="167"/>
    </row>
    <row r="232" spans="1:30" s="161" customFormat="1" ht="39.950000000000003" hidden="1" customHeight="1" outlineLevel="1" collapsed="1" x14ac:dyDescent="0.25">
      <c r="A232" s="21"/>
      <c r="B232" s="196" t="s">
        <v>4615</v>
      </c>
      <c r="C232" s="159"/>
      <c r="K232" s="21"/>
      <c r="M232" s="21"/>
      <c r="O232" s="21"/>
      <c r="Q232" s="21"/>
      <c r="V232" s="21"/>
      <c r="W232" s="21"/>
      <c r="AC232" s="228"/>
      <c r="AD232" s="167"/>
    </row>
    <row r="233" spans="1:30" s="161" customFormat="1" ht="39.950000000000003" hidden="1" customHeight="1" outlineLevel="2" x14ac:dyDescent="0.25">
      <c r="A233" s="21"/>
      <c r="B233" s="21" t="s">
        <v>2183</v>
      </c>
      <c r="C233" s="159" t="s">
        <v>2184</v>
      </c>
      <c r="D233" s="238">
        <v>960</v>
      </c>
      <c r="E233" s="161">
        <v>8</v>
      </c>
      <c r="F233" s="161">
        <v>100</v>
      </c>
      <c r="G233" s="161" t="s">
        <v>2185</v>
      </c>
      <c r="H233" s="161" t="s">
        <v>138</v>
      </c>
      <c r="I233" s="161">
        <v>65</v>
      </c>
      <c r="J233" s="161" t="s">
        <v>389</v>
      </c>
      <c r="K233" s="21" t="s">
        <v>2142</v>
      </c>
      <c r="L233" s="161" t="s">
        <v>59</v>
      </c>
      <c r="M233" s="21" t="s">
        <v>1719</v>
      </c>
      <c r="N233" s="161" t="s">
        <v>2138</v>
      </c>
      <c r="O233" s="21" t="s">
        <v>1630</v>
      </c>
      <c r="P233" s="161" t="s">
        <v>69</v>
      </c>
      <c r="Q233" s="21" t="s">
        <v>70</v>
      </c>
      <c r="R233" s="161">
        <v>80</v>
      </c>
      <c r="S233" s="146" t="s">
        <v>4449</v>
      </c>
      <c r="T233" s="161" t="s">
        <v>1729</v>
      </c>
      <c r="U233" s="161" t="s">
        <v>73</v>
      </c>
      <c r="V233" s="21" t="s">
        <v>1632</v>
      </c>
      <c r="W233" s="21" t="s">
        <v>1633</v>
      </c>
      <c r="X233" s="161" t="s">
        <v>1662</v>
      </c>
      <c r="Y233" s="161">
        <v>1.2999999999999999E-2</v>
      </c>
      <c r="Z233" s="161">
        <v>0.6</v>
      </c>
      <c r="AA233" s="161" t="s">
        <v>77</v>
      </c>
      <c r="AB233" s="161" t="s">
        <v>114</v>
      </c>
      <c r="AC233" s="266" t="str">
        <f>HYPERLINK("https://gcsvt.ru/svetodiodnyie-svetilniki/svt-p-i-v2-300-8w-lv-12v-dc/","Ссылка")</f>
        <v>Ссылка</v>
      </c>
      <c r="AD233" s="167">
        <v>4624</v>
      </c>
    </row>
    <row r="234" spans="1:30" s="161" customFormat="1" ht="39.950000000000003" hidden="1" customHeight="1" outlineLevel="2" x14ac:dyDescent="0.25">
      <c r="A234" s="21"/>
      <c r="B234" s="21" t="s">
        <v>2183</v>
      </c>
      <c r="C234" s="159" t="s">
        <v>2188</v>
      </c>
      <c r="D234" s="238">
        <v>960</v>
      </c>
      <c r="E234" s="161">
        <v>8</v>
      </c>
      <c r="F234" s="161">
        <v>100</v>
      </c>
      <c r="G234" s="161" t="s">
        <v>2189</v>
      </c>
      <c r="H234" s="161" t="s">
        <v>138</v>
      </c>
      <c r="I234" s="161">
        <v>65</v>
      </c>
      <c r="J234" s="161" t="s">
        <v>389</v>
      </c>
      <c r="K234" s="21" t="s">
        <v>1876</v>
      </c>
      <c r="L234" s="161" t="s">
        <v>59</v>
      </c>
      <c r="M234" s="21" t="s">
        <v>1719</v>
      </c>
      <c r="N234" s="161" t="s">
        <v>2138</v>
      </c>
      <c r="O234" s="21" t="s">
        <v>1630</v>
      </c>
      <c r="P234" s="161" t="s">
        <v>69</v>
      </c>
      <c r="Q234" s="21" t="s">
        <v>70</v>
      </c>
      <c r="R234" s="161">
        <v>80</v>
      </c>
      <c r="S234" s="146" t="s">
        <v>4449</v>
      </c>
      <c r="T234" s="161" t="s">
        <v>1729</v>
      </c>
      <c r="U234" s="161" t="s">
        <v>73</v>
      </c>
      <c r="V234" s="21" t="s">
        <v>1632</v>
      </c>
      <c r="W234" s="21" t="s">
        <v>1633</v>
      </c>
      <c r="X234" s="161" t="s">
        <v>1662</v>
      </c>
      <c r="Y234" s="161">
        <v>1.2999999999999999E-2</v>
      </c>
      <c r="Z234" s="161">
        <v>0.6</v>
      </c>
      <c r="AA234" s="161" t="s">
        <v>77</v>
      </c>
      <c r="AB234" s="161" t="s">
        <v>114</v>
      </c>
      <c r="AC234" s="266" t="str">
        <f>HYPERLINK("https://gcsvt.ru/svetodiodnyie-svetilniki/svt-p-i-v2-300-8w-lv-24v-dc/","Ссылка")</f>
        <v>Ссылка</v>
      </c>
      <c r="AD234" s="167">
        <v>4624</v>
      </c>
    </row>
    <row r="235" spans="1:30" s="161" customFormat="1" ht="39.950000000000003" hidden="1" customHeight="1" outlineLevel="2" x14ac:dyDescent="0.25">
      <c r="A235" s="21"/>
      <c r="B235" s="21" t="s">
        <v>2183</v>
      </c>
      <c r="C235" s="159" t="s">
        <v>2190</v>
      </c>
      <c r="D235" s="238">
        <v>960</v>
      </c>
      <c r="E235" s="161">
        <v>8</v>
      </c>
      <c r="F235" s="161">
        <v>100</v>
      </c>
      <c r="G235" s="161" t="s">
        <v>2191</v>
      </c>
      <c r="H235" s="161" t="s">
        <v>138</v>
      </c>
      <c r="I235" s="161">
        <v>65</v>
      </c>
      <c r="J235" s="161" t="s">
        <v>389</v>
      </c>
      <c r="K235" s="21" t="s">
        <v>2149</v>
      </c>
      <c r="L235" s="161" t="s">
        <v>59</v>
      </c>
      <c r="M235" s="21" t="s">
        <v>1719</v>
      </c>
      <c r="N235" s="161" t="s">
        <v>2138</v>
      </c>
      <c r="O235" s="21" t="s">
        <v>1630</v>
      </c>
      <c r="P235" s="161" t="s">
        <v>69</v>
      </c>
      <c r="Q235" s="21" t="s">
        <v>70</v>
      </c>
      <c r="R235" s="161">
        <v>80</v>
      </c>
      <c r="S235" s="146" t="s">
        <v>4449</v>
      </c>
      <c r="T235" s="161" t="s">
        <v>1729</v>
      </c>
      <c r="U235" s="161" t="s">
        <v>73</v>
      </c>
      <c r="V235" s="21" t="s">
        <v>1632</v>
      </c>
      <c r="W235" s="21" t="s">
        <v>1633</v>
      </c>
      <c r="X235" s="161" t="s">
        <v>1662</v>
      </c>
      <c r="Y235" s="161">
        <v>1.2999999999999999E-2</v>
      </c>
      <c r="Z235" s="161">
        <v>0.6</v>
      </c>
      <c r="AA235" s="161" t="s">
        <v>77</v>
      </c>
      <c r="AB235" s="161" t="s">
        <v>114</v>
      </c>
      <c r="AC235" s="266" t="str">
        <f>HYPERLINK("https://gcsvt.ru/svetodiodnyie-svetilniki/svt-p-i-v2-300-8w-lv-36v-dc/","Ссылка")</f>
        <v>Ссылка</v>
      </c>
      <c r="AD235" s="167">
        <v>4624</v>
      </c>
    </row>
    <row r="236" spans="1:30" s="161" customFormat="1" ht="39.950000000000003" hidden="1" customHeight="1" outlineLevel="2" x14ac:dyDescent="0.25">
      <c r="A236" s="21"/>
      <c r="B236" s="21" t="s">
        <v>2183</v>
      </c>
      <c r="C236" s="159" t="s">
        <v>2192</v>
      </c>
      <c r="D236" s="238">
        <v>960</v>
      </c>
      <c r="E236" s="161">
        <v>8</v>
      </c>
      <c r="F236" s="161">
        <v>100</v>
      </c>
      <c r="G236" s="161" t="s">
        <v>2193</v>
      </c>
      <c r="H236" s="161" t="s">
        <v>138</v>
      </c>
      <c r="I236" s="161">
        <v>65</v>
      </c>
      <c r="J236" s="161" t="s">
        <v>389</v>
      </c>
      <c r="K236" s="21" t="s">
        <v>2152</v>
      </c>
      <c r="L236" s="161" t="s">
        <v>59</v>
      </c>
      <c r="M236" s="21" t="s">
        <v>1719</v>
      </c>
      <c r="N236" s="161" t="s">
        <v>2138</v>
      </c>
      <c r="O236" s="21" t="s">
        <v>1630</v>
      </c>
      <c r="P236" s="161" t="s">
        <v>69</v>
      </c>
      <c r="Q236" s="21" t="s">
        <v>70</v>
      </c>
      <c r="R236" s="161">
        <v>80</v>
      </c>
      <c r="S236" s="146" t="s">
        <v>4449</v>
      </c>
      <c r="T236" s="161" t="s">
        <v>1729</v>
      </c>
      <c r="U236" s="161" t="s">
        <v>73</v>
      </c>
      <c r="V236" s="21" t="s">
        <v>1632</v>
      </c>
      <c r="W236" s="21" t="s">
        <v>1633</v>
      </c>
      <c r="X236" s="161" t="s">
        <v>1662</v>
      </c>
      <c r="Y236" s="161">
        <v>1.2999999999999999E-2</v>
      </c>
      <c r="Z236" s="161">
        <v>0.6</v>
      </c>
      <c r="AA236" s="161" t="s">
        <v>77</v>
      </c>
      <c r="AB236" s="161" t="s">
        <v>114</v>
      </c>
      <c r="AC236" s="266" t="str">
        <f>HYPERLINK("https://gcsvt.ru/svetodiodnyie-svetilniki/svt-p-i-v2-300-8w-lv-12v-ac/","Ссылка")</f>
        <v>Ссылка</v>
      </c>
      <c r="AD236" s="167">
        <v>4624</v>
      </c>
    </row>
    <row r="237" spans="1:30" s="161" customFormat="1" ht="39.950000000000003" hidden="1" customHeight="1" outlineLevel="2" x14ac:dyDescent="0.25">
      <c r="A237" s="21"/>
      <c r="B237" s="21" t="s">
        <v>2183</v>
      </c>
      <c r="C237" s="159" t="s">
        <v>2194</v>
      </c>
      <c r="D237" s="238">
        <v>960</v>
      </c>
      <c r="E237" s="161">
        <v>8</v>
      </c>
      <c r="F237" s="161">
        <v>100</v>
      </c>
      <c r="G237" s="161" t="s">
        <v>2195</v>
      </c>
      <c r="H237" s="161" t="s">
        <v>138</v>
      </c>
      <c r="I237" s="161">
        <v>65</v>
      </c>
      <c r="J237" s="161" t="s">
        <v>389</v>
      </c>
      <c r="K237" s="21" t="s">
        <v>2155</v>
      </c>
      <c r="L237" s="161" t="s">
        <v>59</v>
      </c>
      <c r="M237" s="21" t="s">
        <v>1719</v>
      </c>
      <c r="N237" s="161" t="s">
        <v>2138</v>
      </c>
      <c r="O237" s="21" t="s">
        <v>1630</v>
      </c>
      <c r="P237" s="161" t="s">
        <v>69</v>
      </c>
      <c r="Q237" s="21" t="s">
        <v>70</v>
      </c>
      <c r="R237" s="161">
        <v>80</v>
      </c>
      <c r="S237" s="146" t="s">
        <v>4449</v>
      </c>
      <c r="T237" s="161" t="s">
        <v>1729</v>
      </c>
      <c r="U237" s="161" t="s">
        <v>73</v>
      </c>
      <c r="V237" s="21" t="s">
        <v>1632</v>
      </c>
      <c r="W237" s="21" t="s">
        <v>1633</v>
      </c>
      <c r="X237" s="161" t="s">
        <v>1662</v>
      </c>
      <c r="Y237" s="161">
        <v>1.2999999999999999E-2</v>
      </c>
      <c r="Z237" s="161">
        <v>0.6</v>
      </c>
      <c r="AA237" s="161" t="s">
        <v>77</v>
      </c>
      <c r="AB237" s="161" t="s">
        <v>114</v>
      </c>
      <c r="AC237" s="266" t="str">
        <f>HYPERLINK("https://gcsvt.ru/svetodiodnyie-svetilniki/svt-p-i-v2-300-8w-lv-24v-ac/","Ссылка")</f>
        <v>Ссылка</v>
      </c>
      <c r="AD237" s="167">
        <v>4624</v>
      </c>
    </row>
    <row r="238" spans="1:30" s="161" customFormat="1" ht="39.950000000000003" hidden="1" customHeight="1" outlineLevel="2" x14ac:dyDescent="0.25">
      <c r="A238" s="21"/>
      <c r="B238" s="21" t="s">
        <v>2183</v>
      </c>
      <c r="C238" s="159" t="s">
        <v>2196</v>
      </c>
      <c r="D238" s="238">
        <v>960</v>
      </c>
      <c r="E238" s="161">
        <v>8</v>
      </c>
      <c r="F238" s="161">
        <v>100</v>
      </c>
      <c r="G238" s="161" t="s">
        <v>2197</v>
      </c>
      <c r="H238" s="161" t="s">
        <v>138</v>
      </c>
      <c r="I238" s="161">
        <v>65</v>
      </c>
      <c r="J238" s="161" t="s">
        <v>389</v>
      </c>
      <c r="K238" s="21" t="s">
        <v>2158</v>
      </c>
      <c r="L238" s="161" t="s">
        <v>59</v>
      </c>
      <c r="M238" s="21" t="s">
        <v>1719</v>
      </c>
      <c r="N238" s="161" t="s">
        <v>2138</v>
      </c>
      <c r="O238" s="21" t="s">
        <v>1630</v>
      </c>
      <c r="P238" s="161" t="s">
        <v>69</v>
      </c>
      <c r="Q238" s="21" t="s">
        <v>70</v>
      </c>
      <c r="R238" s="161">
        <v>80</v>
      </c>
      <c r="S238" s="146" t="s">
        <v>4449</v>
      </c>
      <c r="T238" s="161" t="s">
        <v>1729</v>
      </c>
      <c r="U238" s="161" t="s">
        <v>73</v>
      </c>
      <c r="V238" s="21" t="s">
        <v>1632</v>
      </c>
      <c r="W238" s="21" t="s">
        <v>1633</v>
      </c>
      <c r="X238" s="161" t="s">
        <v>1662</v>
      </c>
      <c r="Y238" s="161">
        <v>1.2999999999999999E-2</v>
      </c>
      <c r="Z238" s="161">
        <v>0.6</v>
      </c>
      <c r="AA238" s="161" t="s">
        <v>77</v>
      </c>
      <c r="AB238" s="161" t="s">
        <v>114</v>
      </c>
      <c r="AC238" s="266" t="str">
        <f>HYPERLINK("https://gcsvt.ru/svetodiodnyie-svetilniki/svt-p-i-v2-300-8w-lv-36v-ac/","Ссылка")</f>
        <v>Ссылка</v>
      </c>
      <c r="AD238" s="167">
        <v>4624</v>
      </c>
    </row>
    <row r="239" spans="1:30" s="161" customFormat="1" ht="39.950000000000003" hidden="1" customHeight="1" outlineLevel="2" x14ac:dyDescent="0.25">
      <c r="A239" s="21"/>
      <c r="B239" s="21" t="s">
        <v>2183</v>
      </c>
      <c r="C239" s="159" t="s">
        <v>2198</v>
      </c>
      <c r="D239" s="240">
        <v>1920</v>
      </c>
      <c r="E239" s="161">
        <v>16</v>
      </c>
      <c r="F239" s="161">
        <v>100</v>
      </c>
      <c r="G239" s="161" t="s">
        <v>2199</v>
      </c>
      <c r="H239" s="161" t="s">
        <v>138</v>
      </c>
      <c r="I239" s="161">
        <v>65</v>
      </c>
      <c r="J239" s="161" t="s">
        <v>389</v>
      </c>
      <c r="K239" s="21" t="s">
        <v>2142</v>
      </c>
      <c r="L239" s="161" t="s">
        <v>59</v>
      </c>
      <c r="M239" s="21" t="s">
        <v>1719</v>
      </c>
      <c r="N239" s="161" t="s">
        <v>2138</v>
      </c>
      <c r="O239" s="21" t="s">
        <v>1630</v>
      </c>
      <c r="P239" s="161" t="s">
        <v>69</v>
      </c>
      <c r="Q239" s="21" t="s">
        <v>70</v>
      </c>
      <c r="R239" s="161">
        <v>80</v>
      </c>
      <c r="S239" s="146" t="s">
        <v>4450</v>
      </c>
      <c r="T239" s="161" t="s">
        <v>4453</v>
      </c>
      <c r="U239" s="161" t="s">
        <v>73</v>
      </c>
      <c r="V239" s="21" t="s">
        <v>1632</v>
      </c>
      <c r="W239" s="21" t="s">
        <v>1633</v>
      </c>
      <c r="X239" s="161" t="s">
        <v>1665</v>
      </c>
      <c r="Y239" s="161">
        <v>1.2999999999999999E-2</v>
      </c>
      <c r="Z239" s="161">
        <v>0.8</v>
      </c>
      <c r="AA239" s="161" t="s">
        <v>77</v>
      </c>
      <c r="AB239" s="161" t="s">
        <v>114</v>
      </c>
      <c r="AC239" s="266" t="str">
        <f>HYPERLINK("https://gcsvt.ru/svetodiodnyie-svetilniki/svt-p-i-v2-600-16w-lv-12v-dc/","Ссылка")</f>
        <v>Ссылка</v>
      </c>
      <c r="AD239" s="167">
        <v>5398</v>
      </c>
    </row>
    <row r="240" spans="1:30" s="161" customFormat="1" ht="39.950000000000003" hidden="1" customHeight="1" outlineLevel="2" x14ac:dyDescent="0.25">
      <c r="A240" s="21"/>
      <c r="B240" s="21" t="s">
        <v>2183</v>
      </c>
      <c r="C240" s="159" t="s">
        <v>2201</v>
      </c>
      <c r="D240" s="240">
        <v>1920</v>
      </c>
      <c r="E240" s="161">
        <v>16</v>
      </c>
      <c r="F240" s="161">
        <v>100</v>
      </c>
      <c r="G240" s="161" t="s">
        <v>2202</v>
      </c>
      <c r="H240" s="161" t="s">
        <v>138</v>
      </c>
      <c r="I240" s="161">
        <v>65</v>
      </c>
      <c r="J240" s="161" t="s">
        <v>389</v>
      </c>
      <c r="K240" s="21" t="s">
        <v>1876</v>
      </c>
      <c r="L240" s="161" t="s">
        <v>59</v>
      </c>
      <c r="M240" s="21" t="s">
        <v>1719</v>
      </c>
      <c r="N240" s="161" t="s">
        <v>2138</v>
      </c>
      <c r="O240" s="21" t="s">
        <v>1630</v>
      </c>
      <c r="P240" s="161" t="s">
        <v>69</v>
      </c>
      <c r="Q240" s="21" t="s">
        <v>70</v>
      </c>
      <c r="R240" s="161">
        <v>80</v>
      </c>
      <c r="S240" s="146" t="s">
        <v>4450</v>
      </c>
      <c r="T240" s="161" t="s">
        <v>4453</v>
      </c>
      <c r="U240" s="161" t="s">
        <v>73</v>
      </c>
      <c r="V240" s="21" t="s">
        <v>1632</v>
      </c>
      <c r="W240" s="21" t="s">
        <v>1633</v>
      </c>
      <c r="X240" s="161" t="s">
        <v>1665</v>
      </c>
      <c r="Y240" s="161">
        <v>1.2999999999999999E-2</v>
      </c>
      <c r="Z240" s="161">
        <v>0.8</v>
      </c>
      <c r="AA240" s="161" t="s">
        <v>77</v>
      </c>
      <c r="AB240" s="161" t="s">
        <v>114</v>
      </c>
      <c r="AC240" s="266" t="str">
        <f>HYPERLINK("https://gcsvt.ru/svetodiodnyie-svetilniki/svt-p-i-v2-600-16w-lv-24v-dc/","Ссылка")</f>
        <v>Ссылка</v>
      </c>
      <c r="AD240" s="167">
        <v>5398</v>
      </c>
    </row>
    <row r="241" spans="1:30" s="161" customFormat="1" ht="39.950000000000003" hidden="1" customHeight="1" outlineLevel="2" x14ac:dyDescent="0.25">
      <c r="A241" s="21"/>
      <c r="B241" s="21" t="s">
        <v>2183</v>
      </c>
      <c r="C241" s="159" t="s">
        <v>2203</v>
      </c>
      <c r="D241" s="240">
        <v>1920</v>
      </c>
      <c r="E241" s="161">
        <v>16</v>
      </c>
      <c r="F241" s="161">
        <v>100</v>
      </c>
      <c r="G241" s="161" t="s">
        <v>2204</v>
      </c>
      <c r="H241" s="161" t="s">
        <v>138</v>
      </c>
      <c r="I241" s="161">
        <v>65</v>
      </c>
      <c r="J241" s="161" t="s">
        <v>389</v>
      </c>
      <c r="K241" s="21" t="s">
        <v>2149</v>
      </c>
      <c r="L241" s="161" t="s">
        <v>59</v>
      </c>
      <c r="M241" s="21" t="s">
        <v>1719</v>
      </c>
      <c r="N241" s="161" t="s">
        <v>2138</v>
      </c>
      <c r="O241" s="21" t="s">
        <v>1630</v>
      </c>
      <c r="P241" s="161" t="s">
        <v>69</v>
      </c>
      <c r="Q241" s="21" t="s">
        <v>70</v>
      </c>
      <c r="R241" s="161">
        <v>80</v>
      </c>
      <c r="S241" s="146" t="s">
        <v>4450</v>
      </c>
      <c r="T241" s="161" t="s">
        <v>4453</v>
      </c>
      <c r="U241" s="161" t="s">
        <v>73</v>
      </c>
      <c r="V241" s="21" t="s">
        <v>1632</v>
      </c>
      <c r="W241" s="21" t="s">
        <v>1633</v>
      </c>
      <c r="X241" s="161" t="s">
        <v>1665</v>
      </c>
      <c r="Y241" s="161">
        <v>1.2999999999999999E-2</v>
      </c>
      <c r="Z241" s="161">
        <v>0.8</v>
      </c>
      <c r="AA241" s="161" t="s">
        <v>77</v>
      </c>
      <c r="AB241" s="161" t="s">
        <v>114</v>
      </c>
      <c r="AC241" s="266" t="str">
        <f>HYPERLINK("https://gcsvt.ru/svetodiodnyie-svetilniki/svt-p-i-v2-600-16w-lv-36v-dc/","Ссылка")</f>
        <v>Ссылка</v>
      </c>
      <c r="AD241" s="167">
        <v>5398</v>
      </c>
    </row>
    <row r="242" spans="1:30" s="161" customFormat="1" ht="39.950000000000003" hidden="1" customHeight="1" outlineLevel="2" x14ac:dyDescent="0.25">
      <c r="A242" s="21"/>
      <c r="B242" s="21" t="s">
        <v>2183</v>
      </c>
      <c r="C242" s="159" t="s">
        <v>2205</v>
      </c>
      <c r="D242" s="240">
        <v>1920</v>
      </c>
      <c r="E242" s="161">
        <v>16</v>
      </c>
      <c r="F242" s="161">
        <v>100</v>
      </c>
      <c r="G242" s="161" t="s">
        <v>2206</v>
      </c>
      <c r="H242" s="161" t="s">
        <v>138</v>
      </c>
      <c r="I242" s="161">
        <v>65</v>
      </c>
      <c r="J242" s="161" t="s">
        <v>389</v>
      </c>
      <c r="K242" s="21" t="s">
        <v>2152</v>
      </c>
      <c r="L242" s="161" t="s">
        <v>59</v>
      </c>
      <c r="M242" s="21" t="s">
        <v>1719</v>
      </c>
      <c r="N242" s="161" t="s">
        <v>2138</v>
      </c>
      <c r="O242" s="21" t="s">
        <v>1630</v>
      </c>
      <c r="P242" s="161" t="s">
        <v>69</v>
      </c>
      <c r="Q242" s="21" t="s">
        <v>70</v>
      </c>
      <c r="R242" s="161">
        <v>80</v>
      </c>
      <c r="S242" s="146" t="s">
        <v>4450</v>
      </c>
      <c r="T242" s="161" t="s">
        <v>4453</v>
      </c>
      <c r="U242" s="161" t="s">
        <v>73</v>
      </c>
      <c r="V242" s="21" t="s">
        <v>1632</v>
      </c>
      <c r="W242" s="21" t="s">
        <v>1633</v>
      </c>
      <c r="X242" s="161" t="s">
        <v>1665</v>
      </c>
      <c r="Y242" s="161">
        <v>1.2999999999999999E-2</v>
      </c>
      <c r="Z242" s="161">
        <v>0.8</v>
      </c>
      <c r="AA242" s="161" t="s">
        <v>77</v>
      </c>
      <c r="AB242" s="161" t="s">
        <v>114</v>
      </c>
      <c r="AC242" s="266" t="str">
        <f>HYPERLINK("https://gcsvt.ru/svetodiodnyie-svetilniki/svt-p-i-v2-600-16w-lv-12v-ac/","Ссылка")</f>
        <v>Ссылка</v>
      </c>
      <c r="AD242" s="167">
        <v>5398</v>
      </c>
    </row>
    <row r="243" spans="1:30" s="161" customFormat="1" ht="39.950000000000003" hidden="1" customHeight="1" outlineLevel="2" x14ac:dyDescent="0.25">
      <c r="A243" s="21"/>
      <c r="B243" s="21" t="s">
        <v>2183</v>
      </c>
      <c r="C243" s="159" t="s">
        <v>2207</v>
      </c>
      <c r="D243" s="240">
        <v>1920</v>
      </c>
      <c r="E243" s="161">
        <v>16</v>
      </c>
      <c r="F243" s="161">
        <v>100</v>
      </c>
      <c r="G243" s="161" t="s">
        <v>2208</v>
      </c>
      <c r="H243" s="161" t="s">
        <v>138</v>
      </c>
      <c r="I243" s="161">
        <v>65</v>
      </c>
      <c r="J243" s="161" t="s">
        <v>389</v>
      </c>
      <c r="K243" s="21" t="s">
        <v>2155</v>
      </c>
      <c r="L243" s="161" t="s">
        <v>59</v>
      </c>
      <c r="M243" s="21" t="s">
        <v>1719</v>
      </c>
      <c r="N243" s="161" t="s">
        <v>2138</v>
      </c>
      <c r="O243" s="21" t="s">
        <v>1630</v>
      </c>
      <c r="P243" s="161" t="s">
        <v>69</v>
      </c>
      <c r="Q243" s="21" t="s">
        <v>70</v>
      </c>
      <c r="R243" s="161">
        <v>80</v>
      </c>
      <c r="S243" s="146" t="s">
        <v>4450</v>
      </c>
      <c r="T243" s="161" t="s">
        <v>4453</v>
      </c>
      <c r="U243" s="161" t="s">
        <v>73</v>
      </c>
      <c r="V243" s="21" t="s">
        <v>1632</v>
      </c>
      <c r="W243" s="21" t="s">
        <v>1633</v>
      </c>
      <c r="X243" s="161" t="s">
        <v>1665</v>
      </c>
      <c r="Y243" s="161">
        <v>1.2999999999999999E-2</v>
      </c>
      <c r="Z243" s="161">
        <v>0.8</v>
      </c>
      <c r="AA243" s="161" t="s">
        <v>77</v>
      </c>
      <c r="AB243" s="161" t="s">
        <v>114</v>
      </c>
      <c r="AC243" s="266" t="str">
        <f>HYPERLINK("https://gcsvt.ru/svetodiodnyie-svetilniki/svt-p-i-v2-600-16w-lv-24v-ac/","Ссылка")</f>
        <v>Ссылка</v>
      </c>
      <c r="AD243" s="167">
        <v>5398</v>
      </c>
    </row>
    <row r="244" spans="1:30" s="161" customFormat="1" ht="39.950000000000003" hidden="1" customHeight="1" outlineLevel="2" x14ac:dyDescent="0.25">
      <c r="A244" s="21"/>
      <c r="B244" s="21" t="s">
        <v>2183</v>
      </c>
      <c r="C244" s="159" t="s">
        <v>2209</v>
      </c>
      <c r="D244" s="240">
        <v>1920</v>
      </c>
      <c r="E244" s="161">
        <v>16</v>
      </c>
      <c r="F244" s="161">
        <v>100</v>
      </c>
      <c r="G244" s="161" t="s">
        <v>2210</v>
      </c>
      <c r="H244" s="161" t="s">
        <v>138</v>
      </c>
      <c r="I244" s="161">
        <v>65</v>
      </c>
      <c r="J244" s="161" t="s">
        <v>389</v>
      </c>
      <c r="K244" s="21" t="s">
        <v>2158</v>
      </c>
      <c r="L244" s="161" t="s">
        <v>59</v>
      </c>
      <c r="M244" s="21" t="s">
        <v>1719</v>
      </c>
      <c r="N244" s="161" t="s">
        <v>2138</v>
      </c>
      <c r="O244" s="21" t="s">
        <v>1630</v>
      </c>
      <c r="P244" s="161" t="s">
        <v>69</v>
      </c>
      <c r="Q244" s="21" t="s">
        <v>70</v>
      </c>
      <c r="R244" s="161">
        <v>80</v>
      </c>
      <c r="S244" s="146" t="s">
        <v>4450</v>
      </c>
      <c r="T244" s="161" t="s">
        <v>4453</v>
      </c>
      <c r="U244" s="161" t="s">
        <v>73</v>
      </c>
      <c r="V244" s="21" t="s">
        <v>1632</v>
      </c>
      <c r="W244" s="21" t="s">
        <v>1633</v>
      </c>
      <c r="X244" s="161" t="s">
        <v>1665</v>
      </c>
      <c r="Y244" s="161">
        <v>1.2999999999999999E-2</v>
      </c>
      <c r="Z244" s="161">
        <v>0.8</v>
      </c>
      <c r="AA244" s="161" t="s">
        <v>77</v>
      </c>
      <c r="AB244" s="161" t="s">
        <v>114</v>
      </c>
      <c r="AC244" s="266" t="str">
        <f>HYPERLINK("https://gcsvt.ru/svetodiodnyie-svetilniki/svt-p-i-v2-600-16w-lv-36v-ac/","Ссылка")</f>
        <v>Ссылка</v>
      </c>
      <c r="AD244" s="167">
        <v>5398</v>
      </c>
    </row>
    <row r="245" spans="1:30" s="161" customFormat="1" ht="39.950000000000003" hidden="1" customHeight="1" outlineLevel="2" x14ac:dyDescent="0.25">
      <c r="A245" s="21"/>
      <c r="B245" s="21" t="s">
        <v>2183</v>
      </c>
      <c r="C245" s="159" t="s">
        <v>2211</v>
      </c>
      <c r="D245" s="240">
        <v>2880</v>
      </c>
      <c r="E245" s="161">
        <v>24</v>
      </c>
      <c r="F245" s="161">
        <v>100</v>
      </c>
      <c r="G245" s="161" t="s">
        <v>2212</v>
      </c>
      <c r="H245" s="161" t="s">
        <v>138</v>
      </c>
      <c r="I245" s="161">
        <v>65</v>
      </c>
      <c r="J245" s="161" t="s">
        <v>389</v>
      </c>
      <c r="K245" s="21" t="s">
        <v>2142</v>
      </c>
      <c r="L245" s="161" t="s">
        <v>59</v>
      </c>
      <c r="M245" s="21" t="s">
        <v>1719</v>
      </c>
      <c r="N245" s="161" t="s">
        <v>2138</v>
      </c>
      <c r="O245" s="21" t="s">
        <v>1630</v>
      </c>
      <c r="P245" s="161" t="s">
        <v>69</v>
      </c>
      <c r="Q245" s="21" t="s">
        <v>70</v>
      </c>
      <c r="R245" s="161">
        <v>80</v>
      </c>
      <c r="S245" s="146" t="s">
        <v>4451</v>
      </c>
      <c r="T245" s="161" t="s">
        <v>4453</v>
      </c>
      <c r="U245" s="161" t="s">
        <v>73</v>
      </c>
      <c r="V245" s="21" t="s">
        <v>1632</v>
      </c>
      <c r="W245" s="21" t="s">
        <v>1633</v>
      </c>
      <c r="X245" s="161" t="s">
        <v>1668</v>
      </c>
      <c r="Y245" s="161">
        <v>1.2999999999999999E-2</v>
      </c>
      <c r="Z245" s="161">
        <v>1</v>
      </c>
      <c r="AA245" s="161" t="s">
        <v>77</v>
      </c>
      <c r="AB245" s="161" t="s">
        <v>114</v>
      </c>
      <c r="AC245" s="266" t="str">
        <f>HYPERLINK("https://gcsvt.ru/svetodiodnyie-svetilniki/svt-p-i-v2-900-24w-lv-12v-dc/","Ссылка")</f>
        <v>Ссылка</v>
      </c>
      <c r="AD245" s="167">
        <v>7591</v>
      </c>
    </row>
    <row r="246" spans="1:30" s="161" customFormat="1" ht="39.950000000000003" hidden="1" customHeight="1" outlineLevel="2" x14ac:dyDescent="0.25">
      <c r="A246" s="21"/>
      <c r="B246" s="21" t="s">
        <v>2183</v>
      </c>
      <c r="C246" s="159" t="s">
        <v>2214</v>
      </c>
      <c r="D246" s="240">
        <v>2880</v>
      </c>
      <c r="E246" s="161">
        <v>24</v>
      </c>
      <c r="F246" s="161">
        <v>100</v>
      </c>
      <c r="G246" s="161" t="s">
        <v>2215</v>
      </c>
      <c r="H246" s="161" t="s">
        <v>138</v>
      </c>
      <c r="I246" s="161">
        <v>65</v>
      </c>
      <c r="J246" s="161" t="s">
        <v>389</v>
      </c>
      <c r="K246" s="21" t="s">
        <v>1876</v>
      </c>
      <c r="L246" s="161" t="s">
        <v>59</v>
      </c>
      <c r="M246" s="21" t="s">
        <v>1719</v>
      </c>
      <c r="N246" s="161" t="s">
        <v>2138</v>
      </c>
      <c r="O246" s="21" t="s">
        <v>1630</v>
      </c>
      <c r="P246" s="161" t="s">
        <v>69</v>
      </c>
      <c r="Q246" s="21" t="s">
        <v>70</v>
      </c>
      <c r="R246" s="161">
        <v>80</v>
      </c>
      <c r="S246" s="146" t="s">
        <v>4451</v>
      </c>
      <c r="T246" s="161" t="s">
        <v>4453</v>
      </c>
      <c r="U246" s="161" t="s">
        <v>73</v>
      </c>
      <c r="V246" s="21" t="s">
        <v>1632</v>
      </c>
      <c r="W246" s="21" t="s">
        <v>1633</v>
      </c>
      <c r="X246" s="161" t="s">
        <v>1668</v>
      </c>
      <c r="Y246" s="161">
        <v>1.2999999999999999E-2</v>
      </c>
      <c r="Z246" s="161">
        <v>1</v>
      </c>
      <c r="AA246" s="161" t="s">
        <v>77</v>
      </c>
      <c r="AB246" s="161" t="s">
        <v>114</v>
      </c>
      <c r="AC246" s="266" t="str">
        <f>HYPERLINK("https://gcsvt.ru/svetodiodnyie-svetilniki/svt-p-i-v2-900-24w-lv-24v-dc/","Ссылка")</f>
        <v>Ссылка</v>
      </c>
      <c r="AD246" s="167">
        <v>7591</v>
      </c>
    </row>
    <row r="247" spans="1:30" s="161" customFormat="1" ht="39.950000000000003" hidden="1" customHeight="1" outlineLevel="2" x14ac:dyDescent="0.25">
      <c r="A247" s="21"/>
      <c r="B247" s="21" t="s">
        <v>2183</v>
      </c>
      <c r="C247" s="159" t="s">
        <v>2216</v>
      </c>
      <c r="D247" s="240">
        <v>2880</v>
      </c>
      <c r="E247" s="161">
        <v>24</v>
      </c>
      <c r="F247" s="161">
        <v>100</v>
      </c>
      <c r="G247" s="161" t="s">
        <v>2217</v>
      </c>
      <c r="H247" s="161" t="s">
        <v>138</v>
      </c>
      <c r="I247" s="161">
        <v>65</v>
      </c>
      <c r="J247" s="161" t="s">
        <v>389</v>
      </c>
      <c r="K247" s="21" t="s">
        <v>2149</v>
      </c>
      <c r="L247" s="161" t="s">
        <v>59</v>
      </c>
      <c r="M247" s="21" t="s">
        <v>1719</v>
      </c>
      <c r="N247" s="161" t="s">
        <v>2138</v>
      </c>
      <c r="O247" s="21" t="s">
        <v>1630</v>
      </c>
      <c r="P247" s="161" t="s">
        <v>69</v>
      </c>
      <c r="Q247" s="21" t="s">
        <v>70</v>
      </c>
      <c r="R247" s="161">
        <v>80</v>
      </c>
      <c r="S247" s="146" t="s">
        <v>4451</v>
      </c>
      <c r="T247" s="161" t="s">
        <v>4453</v>
      </c>
      <c r="U247" s="161" t="s">
        <v>73</v>
      </c>
      <c r="V247" s="21" t="s">
        <v>1632</v>
      </c>
      <c r="W247" s="21" t="s">
        <v>1633</v>
      </c>
      <c r="X247" s="161" t="s">
        <v>1668</v>
      </c>
      <c r="Y247" s="161">
        <v>1.2999999999999999E-2</v>
      </c>
      <c r="Z247" s="161">
        <v>1</v>
      </c>
      <c r="AA247" s="161" t="s">
        <v>77</v>
      </c>
      <c r="AB247" s="161" t="s">
        <v>114</v>
      </c>
      <c r="AC247" s="266" t="str">
        <f>HYPERLINK("https://gcsvt.ru/svetodiodnyie-svetilniki/svt-p-i-v2-900-24w-lv-36v-dc/","Ссылка")</f>
        <v>Ссылка</v>
      </c>
      <c r="AD247" s="167">
        <v>7591</v>
      </c>
    </row>
    <row r="248" spans="1:30" s="161" customFormat="1" ht="39.950000000000003" hidden="1" customHeight="1" outlineLevel="2" x14ac:dyDescent="0.25">
      <c r="A248" s="21"/>
      <c r="B248" s="21" t="s">
        <v>2183</v>
      </c>
      <c r="C248" s="159" t="s">
        <v>2218</v>
      </c>
      <c r="D248" s="240">
        <v>2880</v>
      </c>
      <c r="E248" s="161">
        <v>24</v>
      </c>
      <c r="F248" s="161">
        <v>100</v>
      </c>
      <c r="G248" s="161" t="s">
        <v>2219</v>
      </c>
      <c r="H248" s="161" t="s">
        <v>138</v>
      </c>
      <c r="I248" s="161">
        <v>65</v>
      </c>
      <c r="J248" s="161" t="s">
        <v>389</v>
      </c>
      <c r="K248" s="21" t="s">
        <v>2152</v>
      </c>
      <c r="L248" s="161" t="s">
        <v>59</v>
      </c>
      <c r="M248" s="21" t="s">
        <v>1719</v>
      </c>
      <c r="N248" s="161" t="s">
        <v>2138</v>
      </c>
      <c r="O248" s="21" t="s">
        <v>1630</v>
      </c>
      <c r="P248" s="161" t="s">
        <v>69</v>
      </c>
      <c r="Q248" s="21" t="s">
        <v>70</v>
      </c>
      <c r="R248" s="161">
        <v>80</v>
      </c>
      <c r="S248" s="146" t="s">
        <v>4451</v>
      </c>
      <c r="T248" s="161" t="s">
        <v>4453</v>
      </c>
      <c r="U248" s="161" t="s">
        <v>73</v>
      </c>
      <c r="V248" s="21" t="s">
        <v>1632</v>
      </c>
      <c r="W248" s="21" t="s">
        <v>1633</v>
      </c>
      <c r="X248" s="161" t="s">
        <v>1668</v>
      </c>
      <c r="Y248" s="161">
        <v>1.2999999999999999E-2</v>
      </c>
      <c r="Z248" s="161">
        <v>1</v>
      </c>
      <c r="AA248" s="161" t="s">
        <v>77</v>
      </c>
      <c r="AB248" s="161" t="s">
        <v>114</v>
      </c>
      <c r="AC248" s="266" t="str">
        <f>HYPERLINK("https://gcsvt.ru/svetodiodnyie-svetilniki/svt-p-i-v2-900-24w-lv-12v-ac/","Ссылка")</f>
        <v>Ссылка</v>
      </c>
      <c r="AD248" s="167">
        <v>7591</v>
      </c>
    </row>
    <row r="249" spans="1:30" s="161" customFormat="1" ht="39.950000000000003" hidden="1" customHeight="1" outlineLevel="2" x14ac:dyDescent="0.25">
      <c r="A249" s="21"/>
      <c r="B249" s="21" t="s">
        <v>2183</v>
      </c>
      <c r="C249" s="159" t="s">
        <v>2220</v>
      </c>
      <c r="D249" s="240">
        <v>2880</v>
      </c>
      <c r="E249" s="161">
        <v>24</v>
      </c>
      <c r="F249" s="161">
        <v>100</v>
      </c>
      <c r="G249" s="161" t="s">
        <v>2221</v>
      </c>
      <c r="H249" s="161" t="s">
        <v>138</v>
      </c>
      <c r="I249" s="161">
        <v>65</v>
      </c>
      <c r="J249" s="161" t="s">
        <v>389</v>
      </c>
      <c r="K249" s="21" t="s">
        <v>2155</v>
      </c>
      <c r="L249" s="161" t="s">
        <v>59</v>
      </c>
      <c r="M249" s="21" t="s">
        <v>1719</v>
      </c>
      <c r="N249" s="161" t="s">
        <v>2138</v>
      </c>
      <c r="O249" s="21" t="s">
        <v>1630</v>
      </c>
      <c r="P249" s="161" t="s">
        <v>69</v>
      </c>
      <c r="Q249" s="21" t="s">
        <v>70</v>
      </c>
      <c r="R249" s="161">
        <v>80</v>
      </c>
      <c r="S249" s="146" t="s">
        <v>4451</v>
      </c>
      <c r="T249" s="161" t="s">
        <v>4453</v>
      </c>
      <c r="U249" s="161" t="s">
        <v>73</v>
      </c>
      <c r="V249" s="21" t="s">
        <v>1632</v>
      </c>
      <c r="W249" s="21" t="s">
        <v>1633</v>
      </c>
      <c r="X249" s="161" t="s">
        <v>1668</v>
      </c>
      <c r="Y249" s="161">
        <v>1.2999999999999999E-2</v>
      </c>
      <c r="Z249" s="161">
        <v>1</v>
      </c>
      <c r="AA249" s="161" t="s">
        <v>77</v>
      </c>
      <c r="AB249" s="161" t="s">
        <v>114</v>
      </c>
      <c r="AC249" s="266" t="str">
        <f>HYPERLINK("https://gcsvt.ru/svetodiodnyie-svetilniki/svt-p-i-v2-900-24w-lv-24v-ac/","Ссылка")</f>
        <v>Ссылка</v>
      </c>
      <c r="AD249" s="167">
        <v>7591</v>
      </c>
    </row>
    <row r="250" spans="1:30" s="161" customFormat="1" ht="39.950000000000003" hidden="1" customHeight="1" outlineLevel="2" x14ac:dyDescent="0.25">
      <c r="A250" s="21"/>
      <c r="B250" s="21" t="s">
        <v>2183</v>
      </c>
      <c r="C250" s="159" t="s">
        <v>2222</v>
      </c>
      <c r="D250" s="240">
        <v>2880</v>
      </c>
      <c r="E250" s="161">
        <v>24</v>
      </c>
      <c r="F250" s="161">
        <v>100</v>
      </c>
      <c r="G250" s="161" t="s">
        <v>2223</v>
      </c>
      <c r="H250" s="161" t="s">
        <v>138</v>
      </c>
      <c r="I250" s="161">
        <v>65</v>
      </c>
      <c r="J250" s="161" t="s">
        <v>389</v>
      </c>
      <c r="K250" s="21" t="s">
        <v>2158</v>
      </c>
      <c r="L250" s="161" t="s">
        <v>59</v>
      </c>
      <c r="M250" s="21" t="s">
        <v>1719</v>
      </c>
      <c r="N250" s="161" t="s">
        <v>2138</v>
      </c>
      <c r="O250" s="21" t="s">
        <v>1630</v>
      </c>
      <c r="P250" s="161" t="s">
        <v>69</v>
      </c>
      <c r="Q250" s="21" t="s">
        <v>70</v>
      </c>
      <c r="R250" s="161">
        <v>80</v>
      </c>
      <c r="S250" s="146" t="s">
        <v>4451</v>
      </c>
      <c r="T250" s="161" t="s">
        <v>4453</v>
      </c>
      <c r="U250" s="161" t="s">
        <v>73</v>
      </c>
      <c r="V250" s="21" t="s">
        <v>1632</v>
      </c>
      <c r="W250" s="21" t="s">
        <v>1633</v>
      </c>
      <c r="X250" s="161" t="s">
        <v>1668</v>
      </c>
      <c r="Y250" s="161">
        <v>1.2999999999999999E-2</v>
      </c>
      <c r="Z250" s="161">
        <v>1</v>
      </c>
      <c r="AA250" s="161" t="s">
        <v>77</v>
      </c>
      <c r="AB250" s="161" t="s">
        <v>114</v>
      </c>
      <c r="AC250" s="266" t="str">
        <f>HYPERLINK("https://gcsvt.ru/svetodiodnyie-svetilniki/svt-p-i-v2-900-24w-lv-36v-ac/","Ссылка")</f>
        <v>Ссылка</v>
      </c>
      <c r="AD250" s="167">
        <v>7591</v>
      </c>
    </row>
    <row r="251" spans="1:30" s="161" customFormat="1" ht="39.950000000000003" hidden="1" customHeight="1" outlineLevel="2" x14ac:dyDescent="0.25">
      <c r="A251" s="21"/>
      <c r="B251" s="21" t="s">
        <v>2183</v>
      </c>
      <c r="C251" s="159" t="s">
        <v>2224</v>
      </c>
      <c r="D251" s="240">
        <v>3840</v>
      </c>
      <c r="E251" s="161">
        <v>32</v>
      </c>
      <c r="F251" s="161">
        <v>100</v>
      </c>
      <c r="G251" s="161" t="s">
        <v>2225</v>
      </c>
      <c r="H251" s="161" t="s">
        <v>138</v>
      </c>
      <c r="I251" s="161">
        <v>65</v>
      </c>
      <c r="J251" s="161" t="s">
        <v>389</v>
      </c>
      <c r="K251" s="21" t="s">
        <v>2142</v>
      </c>
      <c r="L251" s="161" t="s">
        <v>59</v>
      </c>
      <c r="M251" s="21" t="s">
        <v>1719</v>
      </c>
      <c r="N251" s="161" t="s">
        <v>2138</v>
      </c>
      <c r="O251" s="21" t="s">
        <v>1630</v>
      </c>
      <c r="P251" s="161" t="s">
        <v>69</v>
      </c>
      <c r="Q251" s="21" t="s">
        <v>70</v>
      </c>
      <c r="R251" s="161">
        <v>80</v>
      </c>
      <c r="S251" s="146" t="s">
        <v>4452</v>
      </c>
      <c r="T251" s="161" t="s">
        <v>4453</v>
      </c>
      <c r="U251" s="161" t="s">
        <v>73</v>
      </c>
      <c r="V251" s="21" t="s">
        <v>1632</v>
      </c>
      <c r="W251" s="21" t="s">
        <v>1633</v>
      </c>
      <c r="X251" s="161" t="s">
        <v>1634</v>
      </c>
      <c r="Y251" s="161">
        <v>1.2999999999999999E-2</v>
      </c>
      <c r="Z251" s="161">
        <v>1.2</v>
      </c>
      <c r="AA251" s="161" t="s">
        <v>77</v>
      </c>
      <c r="AB251" s="161" t="s">
        <v>114</v>
      </c>
      <c r="AC251" s="266" t="str">
        <f>HYPERLINK("https://gcsvt.ru/svetodiodnyie-svetilniki/svt-p-i-v2-1200-32w-lv-12v-dc/","Ссылка")</f>
        <v>Ссылка</v>
      </c>
      <c r="AD251" s="167">
        <v>8186</v>
      </c>
    </row>
    <row r="252" spans="1:30" s="161" customFormat="1" ht="39.950000000000003" hidden="1" customHeight="1" outlineLevel="2" x14ac:dyDescent="0.25">
      <c r="A252" s="21"/>
      <c r="B252" s="21" t="s">
        <v>2183</v>
      </c>
      <c r="C252" s="159" t="s">
        <v>2227</v>
      </c>
      <c r="D252" s="240">
        <v>3840</v>
      </c>
      <c r="E252" s="161">
        <v>32</v>
      </c>
      <c r="F252" s="161">
        <v>100</v>
      </c>
      <c r="G252" s="161" t="s">
        <v>2228</v>
      </c>
      <c r="H252" s="161" t="s">
        <v>138</v>
      </c>
      <c r="I252" s="161">
        <v>65</v>
      </c>
      <c r="J252" s="161" t="s">
        <v>389</v>
      </c>
      <c r="K252" s="21" t="s">
        <v>1876</v>
      </c>
      <c r="L252" s="161" t="s">
        <v>59</v>
      </c>
      <c r="M252" s="21" t="s">
        <v>1719</v>
      </c>
      <c r="N252" s="161" t="s">
        <v>2138</v>
      </c>
      <c r="O252" s="21" t="s">
        <v>1630</v>
      </c>
      <c r="P252" s="161" t="s">
        <v>69</v>
      </c>
      <c r="Q252" s="21" t="s">
        <v>70</v>
      </c>
      <c r="R252" s="161">
        <v>80</v>
      </c>
      <c r="S252" s="146" t="s">
        <v>4452</v>
      </c>
      <c r="T252" s="161" t="s">
        <v>4453</v>
      </c>
      <c r="U252" s="161" t="s">
        <v>73</v>
      </c>
      <c r="V252" s="21" t="s">
        <v>1632</v>
      </c>
      <c r="W252" s="21" t="s">
        <v>1633</v>
      </c>
      <c r="X252" s="161" t="s">
        <v>1634</v>
      </c>
      <c r="Y252" s="161">
        <v>1.2999999999999999E-2</v>
      </c>
      <c r="Z252" s="161">
        <v>1.2</v>
      </c>
      <c r="AA252" s="161" t="s">
        <v>77</v>
      </c>
      <c r="AB252" s="161" t="s">
        <v>114</v>
      </c>
      <c r="AC252" s="266" t="str">
        <f>HYPERLINK("https://gcsvt.ru/svetodiodnyie-svetilniki/svt-p-i-v2-1200-32w-lv-24v-dc/","Ссылка")</f>
        <v>Ссылка</v>
      </c>
      <c r="AD252" s="167">
        <v>8186</v>
      </c>
    </row>
    <row r="253" spans="1:30" s="161" customFormat="1" ht="39.950000000000003" hidden="1" customHeight="1" outlineLevel="2" x14ac:dyDescent="0.25">
      <c r="A253" s="21"/>
      <c r="B253" s="21" t="s">
        <v>2183</v>
      </c>
      <c r="C253" s="159" t="s">
        <v>2229</v>
      </c>
      <c r="D253" s="240">
        <v>3840</v>
      </c>
      <c r="E253" s="161">
        <v>32</v>
      </c>
      <c r="F253" s="161">
        <v>100</v>
      </c>
      <c r="G253" s="161" t="s">
        <v>2230</v>
      </c>
      <c r="H253" s="161" t="s">
        <v>138</v>
      </c>
      <c r="I253" s="161">
        <v>65</v>
      </c>
      <c r="J253" s="161" t="s">
        <v>389</v>
      </c>
      <c r="K253" s="21" t="s">
        <v>2149</v>
      </c>
      <c r="L253" s="161" t="s">
        <v>59</v>
      </c>
      <c r="M253" s="21" t="s">
        <v>1719</v>
      </c>
      <c r="N253" s="161" t="s">
        <v>2138</v>
      </c>
      <c r="O253" s="21" t="s">
        <v>1630</v>
      </c>
      <c r="P253" s="161" t="s">
        <v>69</v>
      </c>
      <c r="Q253" s="21" t="s">
        <v>70</v>
      </c>
      <c r="R253" s="161">
        <v>80</v>
      </c>
      <c r="S253" s="146" t="s">
        <v>4452</v>
      </c>
      <c r="T253" s="161" t="s">
        <v>4453</v>
      </c>
      <c r="U253" s="161" t="s">
        <v>73</v>
      </c>
      <c r="V253" s="21" t="s">
        <v>1632</v>
      </c>
      <c r="W253" s="21" t="s">
        <v>1633</v>
      </c>
      <c r="X253" s="161" t="s">
        <v>1634</v>
      </c>
      <c r="Y253" s="161">
        <v>1.2999999999999999E-2</v>
      </c>
      <c r="Z253" s="161">
        <v>1.2</v>
      </c>
      <c r="AA253" s="161" t="s">
        <v>77</v>
      </c>
      <c r="AB253" s="161" t="s">
        <v>114</v>
      </c>
      <c r="AC253" s="266" t="str">
        <f>HYPERLINK("https://gcsvt.ru/svetodiodnyie-svetilniki/svt-p-i-v2-1200-32w-lv-36v-dc/","Ссылка")</f>
        <v>Ссылка</v>
      </c>
      <c r="AD253" s="167">
        <v>8186</v>
      </c>
    </row>
    <row r="254" spans="1:30" s="161" customFormat="1" ht="39.950000000000003" hidden="1" customHeight="1" outlineLevel="2" x14ac:dyDescent="0.25">
      <c r="A254" s="21"/>
      <c r="B254" s="21" t="s">
        <v>2183</v>
      </c>
      <c r="C254" s="159" t="s">
        <v>2231</v>
      </c>
      <c r="D254" s="240">
        <v>3840</v>
      </c>
      <c r="E254" s="161">
        <v>32</v>
      </c>
      <c r="F254" s="161">
        <v>100</v>
      </c>
      <c r="G254" s="161" t="s">
        <v>2232</v>
      </c>
      <c r="H254" s="161" t="s">
        <v>138</v>
      </c>
      <c r="I254" s="161">
        <v>65</v>
      </c>
      <c r="J254" s="161" t="s">
        <v>389</v>
      </c>
      <c r="K254" s="21" t="s">
        <v>2152</v>
      </c>
      <c r="L254" s="161" t="s">
        <v>59</v>
      </c>
      <c r="M254" s="21" t="s">
        <v>1719</v>
      </c>
      <c r="N254" s="161" t="s">
        <v>2138</v>
      </c>
      <c r="O254" s="21" t="s">
        <v>1630</v>
      </c>
      <c r="P254" s="161" t="s">
        <v>69</v>
      </c>
      <c r="Q254" s="21" t="s">
        <v>70</v>
      </c>
      <c r="R254" s="161">
        <v>80</v>
      </c>
      <c r="S254" s="146" t="s">
        <v>4452</v>
      </c>
      <c r="T254" s="161" t="s">
        <v>4453</v>
      </c>
      <c r="U254" s="161" t="s">
        <v>73</v>
      </c>
      <c r="V254" s="21" t="s">
        <v>1632</v>
      </c>
      <c r="W254" s="21" t="s">
        <v>1633</v>
      </c>
      <c r="X254" s="161" t="s">
        <v>1634</v>
      </c>
      <c r="Y254" s="161">
        <v>1.2999999999999999E-2</v>
      </c>
      <c r="Z254" s="161">
        <v>1.2</v>
      </c>
      <c r="AA254" s="161" t="s">
        <v>77</v>
      </c>
      <c r="AB254" s="161" t="s">
        <v>114</v>
      </c>
      <c r="AC254" s="266" t="str">
        <f>HYPERLINK("https://gcsvt.ru/svetodiodnyie-svetilniki/svt-p-i-v2-1200-32w-lv-12v-ac/","Ссылка")</f>
        <v>Ссылка</v>
      </c>
      <c r="AD254" s="167">
        <v>8186</v>
      </c>
    </row>
    <row r="255" spans="1:30" s="161" customFormat="1" ht="39.950000000000003" hidden="1" customHeight="1" outlineLevel="2" x14ac:dyDescent="0.25">
      <c r="A255" s="21"/>
      <c r="B255" s="21" t="s">
        <v>2183</v>
      </c>
      <c r="C255" s="159" t="s">
        <v>2233</v>
      </c>
      <c r="D255" s="240">
        <v>3840</v>
      </c>
      <c r="E255" s="161">
        <v>32</v>
      </c>
      <c r="F255" s="161">
        <v>100</v>
      </c>
      <c r="G255" s="161" t="s">
        <v>2234</v>
      </c>
      <c r="H255" s="161" t="s">
        <v>138</v>
      </c>
      <c r="I255" s="161">
        <v>65</v>
      </c>
      <c r="J255" s="161" t="s">
        <v>389</v>
      </c>
      <c r="K255" s="21" t="s">
        <v>2155</v>
      </c>
      <c r="L255" s="161" t="s">
        <v>59</v>
      </c>
      <c r="M255" s="21" t="s">
        <v>1719</v>
      </c>
      <c r="N255" s="161" t="s">
        <v>2138</v>
      </c>
      <c r="O255" s="21" t="s">
        <v>1630</v>
      </c>
      <c r="P255" s="161" t="s">
        <v>69</v>
      </c>
      <c r="Q255" s="21" t="s">
        <v>70</v>
      </c>
      <c r="R255" s="161">
        <v>80</v>
      </c>
      <c r="S255" s="146" t="s">
        <v>4452</v>
      </c>
      <c r="T255" s="161" t="s">
        <v>4453</v>
      </c>
      <c r="U255" s="161" t="s">
        <v>73</v>
      </c>
      <c r="V255" s="21" t="s">
        <v>1632</v>
      </c>
      <c r="W255" s="21" t="s">
        <v>1633</v>
      </c>
      <c r="X255" s="161" t="s">
        <v>1634</v>
      </c>
      <c r="Y255" s="161">
        <v>1.2999999999999999E-2</v>
      </c>
      <c r="Z255" s="161">
        <v>1.2</v>
      </c>
      <c r="AA255" s="161" t="s">
        <v>77</v>
      </c>
      <c r="AB255" s="161" t="s">
        <v>114</v>
      </c>
      <c r="AC255" s="266" t="str">
        <f>HYPERLINK("https://gcsvt.ru/svetodiodnyie-svetilniki/svt-p-i-v2-1200-32w-lv-24v-ac/","Ссылка")</f>
        <v>Ссылка</v>
      </c>
      <c r="AD255" s="167">
        <v>8186</v>
      </c>
    </row>
    <row r="256" spans="1:30" s="161" customFormat="1" ht="39.950000000000003" hidden="1" customHeight="1" outlineLevel="2" x14ac:dyDescent="0.25">
      <c r="A256" s="21"/>
      <c r="B256" s="21" t="s">
        <v>2183</v>
      </c>
      <c r="C256" s="159" t="s">
        <v>2235</v>
      </c>
      <c r="D256" s="240">
        <v>3840</v>
      </c>
      <c r="E256" s="161">
        <v>32</v>
      </c>
      <c r="F256" s="161">
        <v>100</v>
      </c>
      <c r="G256" s="161" t="s">
        <v>4468</v>
      </c>
      <c r="H256" s="161" t="s">
        <v>138</v>
      </c>
      <c r="I256" s="161">
        <v>65</v>
      </c>
      <c r="J256" s="161" t="s">
        <v>389</v>
      </c>
      <c r="K256" s="21" t="s">
        <v>2158</v>
      </c>
      <c r="L256" s="161" t="s">
        <v>59</v>
      </c>
      <c r="M256" s="21" t="s">
        <v>1719</v>
      </c>
      <c r="N256" s="161" t="s">
        <v>2138</v>
      </c>
      <c r="O256" s="21" t="s">
        <v>1630</v>
      </c>
      <c r="P256" s="161" t="s">
        <v>69</v>
      </c>
      <c r="Q256" s="21" t="s">
        <v>70</v>
      </c>
      <c r="R256" s="161">
        <v>80</v>
      </c>
      <c r="S256" s="146" t="s">
        <v>4452</v>
      </c>
      <c r="T256" s="161" t="s">
        <v>4453</v>
      </c>
      <c r="U256" s="161" t="s">
        <v>73</v>
      </c>
      <c r="V256" s="21" t="s">
        <v>1632</v>
      </c>
      <c r="W256" s="21" t="s">
        <v>1633</v>
      </c>
      <c r="X256" s="161" t="s">
        <v>1634</v>
      </c>
      <c r="Y256" s="161">
        <v>1.2999999999999999E-2</v>
      </c>
      <c r="Z256" s="161">
        <v>1.2</v>
      </c>
      <c r="AA256" s="161" t="s">
        <v>77</v>
      </c>
      <c r="AB256" s="161" t="s">
        <v>114</v>
      </c>
      <c r="AC256" s="266" t="str">
        <f>HYPERLINK("https://gcsvt.ru/svetodiodnyie-svetilniki/svt-p-i-v2-1200-32w-lv-36v-ac/","Ссылка")</f>
        <v>Ссылка</v>
      </c>
      <c r="AD256" s="167">
        <v>8186</v>
      </c>
    </row>
    <row r="257" spans="1:30" s="161" customFormat="1" ht="39.950000000000003" hidden="1" customHeight="1" outlineLevel="2" x14ac:dyDescent="0.25">
      <c r="A257" s="21"/>
      <c r="B257" s="47" t="s">
        <v>4467</v>
      </c>
      <c r="C257" s="159"/>
      <c r="D257" s="240"/>
      <c r="K257" s="21"/>
      <c r="M257" s="21"/>
      <c r="O257" s="21"/>
      <c r="Q257" s="21"/>
      <c r="S257" s="146"/>
      <c r="V257" s="21"/>
      <c r="W257" s="21"/>
      <c r="AC257" s="228"/>
      <c r="AD257" s="167"/>
    </row>
    <row r="258" spans="1:30" s="161" customFormat="1" ht="39.950000000000003" hidden="1" customHeight="1" outlineLevel="1" collapsed="1" x14ac:dyDescent="0.25">
      <c r="A258" s="21"/>
      <c r="B258" s="196" t="s">
        <v>4616</v>
      </c>
      <c r="C258" s="159"/>
      <c r="D258" s="240"/>
      <c r="K258" s="21"/>
      <c r="M258" s="21"/>
      <c r="O258" s="21"/>
      <c r="Q258" s="21"/>
      <c r="V258" s="21"/>
      <c r="W258" s="21"/>
      <c r="AC258" s="228"/>
      <c r="AD258" s="167"/>
    </row>
    <row r="259" spans="1:30" s="161" customFormat="1" ht="39.950000000000003" hidden="1" customHeight="1" outlineLevel="2" x14ac:dyDescent="0.25">
      <c r="A259" s="21"/>
      <c r="B259" s="21" t="s">
        <v>4416</v>
      </c>
      <c r="C259" s="159" t="s">
        <v>4347</v>
      </c>
      <c r="D259" s="240">
        <v>1040</v>
      </c>
      <c r="E259" s="161">
        <v>8</v>
      </c>
      <c r="F259" s="161">
        <v>130</v>
      </c>
      <c r="G259" s="161" t="s">
        <v>4439</v>
      </c>
      <c r="H259" s="161" t="s">
        <v>138</v>
      </c>
      <c r="I259" s="161">
        <v>65</v>
      </c>
      <c r="J259" s="161" t="s">
        <v>389</v>
      </c>
      <c r="K259" s="21" t="s">
        <v>2142</v>
      </c>
      <c r="L259" s="161" t="s">
        <v>59</v>
      </c>
      <c r="M259" s="21" t="s">
        <v>1719</v>
      </c>
      <c r="N259" s="161" t="s">
        <v>2138</v>
      </c>
      <c r="O259" s="21" t="s">
        <v>3425</v>
      </c>
      <c r="P259" s="161" t="s">
        <v>69</v>
      </c>
      <c r="Q259" s="21" t="s">
        <v>70</v>
      </c>
      <c r="R259" s="161">
        <v>80</v>
      </c>
      <c r="S259" s="161" t="s">
        <v>4443</v>
      </c>
      <c r="T259" s="161" t="s">
        <v>4441</v>
      </c>
      <c r="U259" s="161" t="s">
        <v>73</v>
      </c>
      <c r="V259" s="21" t="s">
        <v>74</v>
      </c>
      <c r="W259" s="21" t="s">
        <v>75</v>
      </c>
      <c r="X259" s="161" t="s">
        <v>3451</v>
      </c>
      <c r="Y259" s="161">
        <v>1.0800000000000001E-2</v>
      </c>
      <c r="Z259" s="161">
        <v>0.85</v>
      </c>
      <c r="AA259" s="161" t="s">
        <v>77</v>
      </c>
      <c r="AB259" s="161" t="s">
        <v>114</v>
      </c>
      <c r="AC259" s="266" t="str">
        <f>HYPERLINK("https://gcsvt.ru/svetodiodnyie-svetilniki/svt-p-direct-300-8w-lv-12v-dc/","Ссылка")</f>
        <v>Ссылка</v>
      </c>
      <c r="AD259" s="167">
        <v>5500</v>
      </c>
    </row>
    <row r="260" spans="1:30" s="161" customFormat="1" ht="39.950000000000003" hidden="1" customHeight="1" outlineLevel="2" x14ac:dyDescent="0.25">
      <c r="A260" s="21"/>
      <c r="B260" s="21" t="s">
        <v>4416</v>
      </c>
      <c r="C260" s="159" t="s">
        <v>4348</v>
      </c>
      <c r="D260" s="240">
        <v>1040</v>
      </c>
      <c r="E260" s="161">
        <v>8</v>
      </c>
      <c r="F260" s="161">
        <v>130</v>
      </c>
      <c r="G260" s="161" t="s">
        <v>4424</v>
      </c>
      <c r="H260" s="161" t="s">
        <v>3988</v>
      </c>
      <c r="I260" s="161">
        <v>65</v>
      </c>
      <c r="J260" s="161" t="s">
        <v>389</v>
      </c>
      <c r="K260" s="21" t="s">
        <v>1876</v>
      </c>
      <c r="L260" s="161" t="s">
        <v>59</v>
      </c>
      <c r="M260" s="21" t="s">
        <v>1719</v>
      </c>
      <c r="N260" s="161" t="s">
        <v>2138</v>
      </c>
      <c r="O260" s="21" t="s">
        <v>3425</v>
      </c>
      <c r="P260" s="161" t="s">
        <v>69</v>
      </c>
      <c r="Q260" s="21" t="s">
        <v>70</v>
      </c>
      <c r="R260" s="161">
        <v>80</v>
      </c>
      <c r="S260" s="161" t="s">
        <v>4443</v>
      </c>
      <c r="T260" s="161" t="s">
        <v>4441</v>
      </c>
      <c r="U260" s="161" t="s">
        <v>4393</v>
      </c>
      <c r="V260" s="21" t="s">
        <v>74</v>
      </c>
      <c r="W260" s="21" t="s">
        <v>75</v>
      </c>
      <c r="X260" s="161" t="s">
        <v>3451</v>
      </c>
      <c r="Y260" s="161">
        <v>1.0800000000000001E-2</v>
      </c>
      <c r="Z260" s="161">
        <v>0.85</v>
      </c>
      <c r="AA260" s="161" t="s">
        <v>77</v>
      </c>
      <c r="AB260" s="161" t="s">
        <v>114</v>
      </c>
      <c r="AC260" s="266" t="str">
        <f>HYPERLINK("https://gcsvt.ru/svetodiodnyie-svetilniki/svt-p-direct-300-8w-lv-24v-dc/","Ссылка")</f>
        <v>Ссылка</v>
      </c>
      <c r="AD260" s="167">
        <v>5500</v>
      </c>
    </row>
    <row r="261" spans="1:30" s="161" customFormat="1" ht="39.950000000000003" hidden="1" customHeight="1" outlineLevel="2" x14ac:dyDescent="0.25">
      <c r="A261" s="21"/>
      <c r="B261" s="21" t="s">
        <v>4416</v>
      </c>
      <c r="C261" s="159" t="s">
        <v>4349</v>
      </c>
      <c r="D261" s="240">
        <v>1040</v>
      </c>
      <c r="E261" s="161">
        <v>8</v>
      </c>
      <c r="F261" s="161">
        <v>130</v>
      </c>
      <c r="G261" s="161" t="s">
        <v>4427</v>
      </c>
      <c r="H261" s="161" t="s">
        <v>4371</v>
      </c>
      <c r="I261" s="161">
        <v>65</v>
      </c>
      <c r="J261" s="161" t="s">
        <v>389</v>
      </c>
      <c r="K261" s="21" t="s">
        <v>2149</v>
      </c>
      <c r="L261" s="161" t="s">
        <v>59</v>
      </c>
      <c r="M261" s="21" t="s">
        <v>1719</v>
      </c>
      <c r="N261" s="161" t="s">
        <v>2138</v>
      </c>
      <c r="O261" s="21" t="s">
        <v>3425</v>
      </c>
      <c r="P261" s="161" t="s">
        <v>69</v>
      </c>
      <c r="Q261" s="21" t="s">
        <v>70</v>
      </c>
      <c r="R261" s="161">
        <v>80</v>
      </c>
      <c r="S261" s="161" t="s">
        <v>4443</v>
      </c>
      <c r="T261" s="161" t="s">
        <v>4441</v>
      </c>
      <c r="U261" s="161" t="s">
        <v>4394</v>
      </c>
      <c r="V261" s="21" t="s">
        <v>74</v>
      </c>
      <c r="W261" s="21" t="s">
        <v>75</v>
      </c>
      <c r="X261" s="161" t="s">
        <v>3451</v>
      </c>
      <c r="Y261" s="161">
        <v>1.0800000000000001E-2</v>
      </c>
      <c r="Z261" s="161">
        <v>0.85</v>
      </c>
      <c r="AA261" s="161" t="s">
        <v>77</v>
      </c>
      <c r="AB261" s="161" t="s">
        <v>114</v>
      </c>
      <c r="AC261" s="266" t="str">
        <f>HYPERLINK("https://gcsvt.ru/svetodiodnyie-svetilniki/svt-p-direct-300-8w-lv-36v-dc/","Ссылка")</f>
        <v>Ссылка</v>
      </c>
      <c r="AD261" s="167">
        <v>5500</v>
      </c>
    </row>
    <row r="262" spans="1:30" s="161" customFormat="1" ht="39.950000000000003" hidden="1" customHeight="1" outlineLevel="2" x14ac:dyDescent="0.25">
      <c r="A262" s="21"/>
      <c r="B262" s="21" t="s">
        <v>4416</v>
      </c>
      <c r="C262" s="159" t="s">
        <v>4350</v>
      </c>
      <c r="D262" s="240">
        <v>1040</v>
      </c>
      <c r="E262" s="161">
        <v>8</v>
      </c>
      <c r="F262" s="161">
        <v>130</v>
      </c>
      <c r="G262" s="161" t="s">
        <v>4422</v>
      </c>
      <c r="H262" s="161" t="s">
        <v>4372</v>
      </c>
      <c r="I262" s="161">
        <v>65</v>
      </c>
      <c r="J262" s="161" t="s">
        <v>389</v>
      </c>
      <c r="K262" s="21" t="s">
        <v>2152</v>
      </c>
      <c r="L262" s="161" t="s">
        <v>59</v>
      </c>
      <c r="M262" s="21" t="s">
        <v>1719</v>
      </c>
      <c r="N262" s="161" t="s">
        <v>2138</v>
      </c>
      <c r="O262" s="21" t="s">
        <v>3425</v>
      </c>
      <c r="P262" s="161" t="s">
        <v>69</v>
      </c>
      <c r="Q262" s="21" t="s">
        <v>70</v>
      </c>
      <c r="R262" s="161">
        <v>80</v>
      </c>
      <c r="S262" s="161" t="s">
        <v>4443</v>
      </c>
      <c r="T262" s="161" t="s">
        <v>4441</v>
      </c>
      <c r="U262" s="161" t="s">
        <v>4395</v>
      </c>
      <c r="V262" s="21" t="s">
        <v>74</v>
      </c>
      <c r="W262" s="21" t="s">
        <v>75</v>
      </c>
      <c r="X262" s="161" t="s">
        <v>3451</v>
      </c>
      <c r="Y262" s="161">
        <v>1.0800000000000001E-2</v>
      </c>
      <c r="Z262" s="161">
        <v>0.85</v>
      </c>
      <c r="AA262" s="161" t="s">
        <v>77</v>
      </c>
      <c r="AB262" s="161" t="s">
        <v>114</v>
      </c>
      <c r="AC262" s="266" t="str">
        <f>HYPERLINK("https://gcsvt.ru/svetodiodnyie-svetilniki/svt-p-direct-300-8w-lv-12v-ac/","Ссылка")</f>
        <v>Ссылка</v>
      </c>
      <c r="AD262" s="167">
        <v>5500</v>
      </c>
    </row>
    <row r="263" spans="1:30" s="161" customFormat="1" ht="39.950000000000003" hidden="1" customHeight="1" outlineLevel="2" x14ac:dyDescent="0.25">
      <c r="A263" s="21"/>
      <c r="B263" s="21" t="s">
        <v>4416</v>
      </c>
      <c r="C263" s="159" t="s">
        <v>4351</v>
      </c>
      <c r="D263" s="240">
        <v>1040</v>
      </c>
      <c r="E263" s="161">
        <v>8</v>
      </c>
      <c r="F263" s="161">
        <v>130</v>
      </c>
      <c r="G263" s="161" t="s">
        <v>4423</v>
      </c>
      <c r="H263" s="161" t="s">
        <v>4373</v>
      </c>
      <c r="I263" s="161">
        <v>65</v>
      </c>
      <c r="J263" s="161" t="s">
        <v>389</v>
      </c>
      <c r="K263" s="21" t="s">
        <v>2155</v>
      </c>
      <c r="L263" s="161" t="s">
        <v>59</v>
      </c>
      <c r="M263" s="21" t="s">
        <v>1719</v>
      </c>
      <c r="N263" s="161" t="s">
        <v>2138</v>
      </c>
      <c r="O263" s="21" t="s">
        <v>3425</v>
      </c>
      <c r="P263" s="161" t="s">
        <v>69</v>
      </c>
      <c r="Q263" s="21" t="s">
        <v>70</v>
      </c>
      <c r="R263" s="161">
        <v>80</v>
      </c>
      <c r="S263" s="161" t="s">
        <v>4443</v>
      </c>
      <c r="T263" s="161" t="s">
        <v>4441</v>
      </c>
      <c r="U263" s="161" t="s">
        <v>4396</v>
      </c>
      <c r="V263" s="21" t="s">
        <v>74</v>
      </c>
      <c r="W263" s="21" t="s">
        <v>75</v>
      </c>
      <c r="X263" s="161" t="s">
        <v>3451</v>
      </c>
      <c r="Y263" s="161">
        <v>1.0800000000000001E-2</v>
      </c>
      <c r="Z263" s="161">
        <v>0.85</v>
      </c>
      <c r="AA263" s="161" t="s">
        <v>77</v>
      </c>
      <c r="AB263" s="161" t="s">
        <v>114</v>
      </c>
      <c r="AC263" s="266" t="str">
        <f>HYPERLINK("https://gcsvt.ru/svetodiodnyie-svetilniki/svt-p-direct-300-8w-lv-24v-ac/","Ссылка")</f>
        <v>Ссылка</v>
      </c>
      <c r="AD263" s="167">
        <v>5500</v>
      </c>
    </row>
    <row r="264" spans="1:30" s="161" customFormat="1" ht="39.950000000000003" hidden="1" customHeight="1" outlineLevel="2" x14ac:dyDescent="0.25">
      <c r="A264" s="21"/>
      <c r="B264" s="21" t="s">
        <v>4416</v>
      </c>
      <c r="C264" s="159" t="s">
        <v>4352</v>
      </c>
      <c r="D264" s="240">
        <v>1040</v>
      </c>
      <c r="E264" s="161">
        <v>8</v>
      </c>
      <c r="F264" s="161">
        <v>130</v>
      </c>
      <c r="G264" s="161" t="s">
        <v>4425</v>
      </c>
      <c r="H264" s="161" t="s">
        <v>4374</v>
      </c>
      <c r="I264" s="161">
        <v>65</v>
      </c>
      <c r="J264" s="161" t="s">
        <v>389</v>
      </c>
      <c r="K264" s="21" t="s">
        <v>2158</v>
      </c>
      <c r="L264" s="161" t="s">
        <v>59</v>
      </c>
      <c r="M264" s="21" t="s">
        <v>1719</v>
      </c>
      <c r="N264" s="161" t="s">
        <v>2138</v>
      </c>
      <c r="O264" s="21" t="s">
        <v>3425</v>
      </c>
      <c r="P264" s="161" t="s">
        <v>69</v>
      </c>
      <c r="Q264" s="21" t="s">
        <v>70</v>
      </c>
      <c r="R264" s="161">
        <v>80</v>
      </c>
      <c r="S264" s="161" t="s">
        <v>4443</v>
      </c>
      <c r="T264" s="161" t="s">
        <v>4441</v>
      </c>
      <c r="U264" s="161" t="s">
        <v>4397</v>
      </c>
      <c r="V264" s="21" t="s">
        <v>74</v>
      </c>
      <c r="W264" s="21" t="s">
        <v>75</v>
      </c>
      <c r="X264" s="161" t="s">
        <v>3451</v>
      </c>
      <c r="Y264" s="161">
        <v>1.0800000000000001E-2</v>
      </c>
      <c r="Z264" s="161">
        <v>0.85</v>
      </c>
      <c r="AA264" s="161" t="s">
        <v>77</v>
      </c>
      <c r="AB264" s="161" t="s">
        <v>114</v>
      </c>
      <c r="AC264" s="266" t="str">
        <f>HYPERLINK("https://gcsvt.ru/svetodiodnyie-svetilniki/svt-p-direct-300-8w-lv-36v-ac/","Ссылка")</f>
        <v>Ссылка</v>
      </c>
      <c r="AD264" s="167">
        <v>5500</v>
      </c>
    </row>
    <row r="265" spans="1:30" s="161" customFormat="1" ht="39.950000000000003" hidden="1" customHeight="1" outlineLevel="2" x14ac:dyDescent="0.25">
      <c r="A265" s="21"/>
      <c r="B265" s="21" t="s">
        <v>4416</v>
      </c>
      <c r="C265" s="159" t="s">
        <v>4353</v>
      </c>
      <c r="D265" s="240">
        <v>2080</v>
      </c>
      <c r="E265" s="161">
        <v>16</v>
      </c>
      <c r="F265" s="161">
        <v>130</v>
      </c>
      <c r="G265" s="161" t="s">
        <v>4428</v>
      </c>
      <c r="H265" s="161" t="s">
        <v>4375</v>
      </c>
      <c r="I265" s="161">
        <v>65</v>
      </c>
      <c r="J265" s="161" t="s">
        <v>389</v>
      </c>
      <c r="K265" s="21" t="s">
        <v>2142</v>
      </c>
      <c r="L265" s="161" t="s">
        <v>59</v>
      </c>
      <c r="M265" s="21" t="s">
        <v>1719</v>
      </c>
      <c r="N265" s="161" t="s">
        <v>2138</v>
      </c>
      <c r="O265" s="21" t="s">
        <v>3425</v>
      </c>
      <c r="P265" s="161" t="s">
        <v>69</v>
      </c>
      <c r="Q265" s="21" t="s">
        <v>70</v>
      </c>
      <c r="R265" s="161">
        <v>80</v>
      </c>
      <c r="S265" s="161" t="s">
        <v>4444</v>
      </c>
      <c r="T265" s="161" t="s">
        <v>4442</v>
      </c>
      <c r="U265" s="161" t="s">
        <v>4398</v>
      </c>
      <c r="V265" s="21" t="s">
        <v>74</v>
      </c>
      <c r="W265" s="21" t="s">
        <v>75</v>
      </c>
      <c r="X265" s="161" t="s">
        <v>3452</v>
      </c>
      <c r="Y265" s="161">
        <v>1.0800000000000001E-2</v>
      </c>
      <c r="Z265" s="161">
        <v>1.55</v>
      </c>
      <c r="AA265" s="161" t="s">
        <v>77</v>
      </c>
      <c r="AB265" s="161" t="s">
        <v>114</v>
      </c>
      <c r="AC265" s="266" t="str">
        <f>HYPERLINK("https://gcsvt.ru/svetodiodnyie-svetilniki/svt-p-direct-600-16w-lv-12v-dc/","Ссылка")</f>
        <v>Ссылка</v>
      </c>
      <c r="AD265" s="167">
        <v>6741</v>
      </c>
    </row>
    <row r="266" spans="1:30" s="161" customFormat="1" ht="39.950000000000003" hidden="1" customHeight="1" outlineLevel="2" x14ac:dyDescent="0.25">
      <c r="A266" s="21"/>
      <c r="B266" s="21" t="s">
        <v>4416</v>
      </c>
      <c r="C266" s="159" t="s">
        <v>4354</v>
      </c>
      <c r="D266" s="240">
        <v>2080</v>
      </c>
      <c r="E266" s="161">
        <v>16</v>
      </c>
      <c r="F266" s="161">
        <v>130</v>
      </c>
      <c r="G266" s="161" t="s">
        <v>4430</v>
      </c>
      <c r="H266" s="161" t="s">
        <v>4376</v>
      </c>
      <c r="I266" s="161">
        <v>65</v>
      </c>
      <c r="J266" s="161" t="s">
        <v>389</v>
      </c>
      <c r="K266" s="21" t="s">
        <v>1876</v>
      </c>
      <c r="L266" s="161" t="s">
        <v>59</v>
      </c>
      <c r="M266" s="21" t="s">
        <v>1719</v>
      </c>
      <c r="N266" s="161" t="s">
        <v>2138</v>
      </c>
      <c r="O266" s="21" t="s">
        <v>3425</v>
      </c>
      <c r="P266" s="161" t="s">
        <v>69</v>
      </c>
      <c r="Q266" s="21" t="s">
        <v>70</v>
      </c>
      <c r="R266" s="161">
        <v>80</v>
      </c>
      <c r="S266" s="161" t="s">
        <v>4444</v>
      </c>
      <c r="T266" s="161" t="s">
        <v>4442</v>
      </c>
      <c r="U266" s="161" t="s">
        <v>4399</v>
      </c>
      <c r="V266" s="21" t="s">
        <v>74</v>
      </c>
      <c r="W266" s="21" t="s">
        <v>75</v>
      </c>
      <c r="X266" s="161" t="s">
        <v>3452</v>
      </c>
      <c r="Y266" s="161">
        <v>1.0800000000000001E-2</v>
      </c>
      <c r="Z266" s="161">
        <v>1.55</v>
      </c>
      <c r="AA266" s="161" t="s">
        <v>77</v>
      </c>
      <c r="AB266" s="161" t="s">
        <v>114</v>
      </c>
      <c r="AC266" s="266" t="str">
        <f>HYPERLINK("https://gcsvt.ru/svetodiodnyie-svetilniki/svt-p-direct-600-16w-lv-24v-dc/","Ссылка")</f>
        <v>Ссылка</v>
      </c>
      <c r="AD266" s="167">
        <v>6741</v>
      </c>
    </row>
    <row r="267" spans="1:30" s="161" customFormat="1" ht="39.950000000000003" hidden="1" customHeight="1" outlineLevel="2" x14ac:dyDescent="0.25">
      <c r="A267" s="21"/>
      <c r="B267" s="21" t="s">
        <v>4416</v>
      </c>
      <c r="C267" s="159" t="s">
        <v>4355</v>
      </c>
      <c r="D267" s="240">
        <v>2080</v>
      </c>
      <c r="E267" s="161">
        <v>16</v>
      </c>
      <c r="F267" s="161">
        <v>130</v>
      </c>
      <c r="G267" s="161" t="s">
        <v>4432</v>
      </c>
      <c r="H267" s="161" t="s">
        <v>4377</v>
      </c>
      <c r="I267" s="161">
        <v>65</v>
      </c>
      <c r="J267" s="161" t="s">
        <v>389</v>
      </c>
      <c r="K267" s="21" t="s">
        <v>2149</v>
      </c>
      <c r="L267" s="161" t="s">
        <v>59</v>
      </c>
      <c r="M267" s="21" t="s">
        <v>1719</v>
      </c>
      <c r="N267" s="161" t="s">
        <v>2138</v>
      </c>
      <c r="O267" s="21" t="s">
        <v>3425</v>
      </c>
      <c r="P267" s="161" t="s">
        <v>69</v>
      </c>
      <c r="Q267" s="21" t="s">
        <v>70</v>
      </c>
      <c r="R267" s="161">
        <v>80</v>
      </c>
      <c r="S267" s="161" t="s">
        <v>4444</v>
      </c>
      <c r="T267" s="161" t="s">
        <v>4442</v>
      </c>
      <c r="U267" s="161" t="s">
        <v>4400</v>
      </c>
      <c r="V267" s="21" t="s">
        <v>74</v>
      </c>
      <c r="W267" s="21" t="s">
        <v>75</v>
      </c>
      <c r="X267" s="161" t="s">
        <v>3452</v>
      </c>
      <c r="Y267" s="161">
        <v>1.0800000000000001E-2</v>
      </c>
      <c r="Z267" s="161">
        <v>1.55</v>
      </c>
      <c r="AA267" s="161" t="s">
        <v>77</v>
      </c>
      <c r="AB267" s="161" t="s">
        <v>114</v>
      </c>
      <c r="AC267" s="266" t="str">
        <f>HYPERLINK("https://gcsvt.ru/svetodiodnyie-svetilniki/svt-p-direct-600-16w-lv-36v-dc/","Ссылка")</f>
        <v>Ссылка</v>
      </c>
      <c r="AD267" s="167">
        <v>6741</v>
      </c>
    </row>
    <row r="268" spans="1:30" s="161" customFormat="1" ht="39.950000000000003" hidden="1" customHeight="1" outlineLevel="2" x14ac:dyDescent="0.25">
      <c r="A268" s="21"/>
      <c r="B268" s="21" t="s">
        <v>4416</v>
      </c>
      <c r="C268" s="159" t="s">
        <v>4356</v>
      </c>
      <c r="D268" s="240">
        <v>2080</v>
      </c>
      <c r="E268" s="161">
        <v>16</v>
      </c>
      <c r="F268" s="161">
        <v>130</v>
      </c>
      <c r="G268" s="161" t="s">
        <v>4426</v>
      </c>
      <c r="H268" s="161" t="s">
        <v>4378</v>
      </c>
      <c r="I268" s="161">
        <v>65</v>
      </c>
      <c r="J268" s="161" t="s">
        <v>389</v>
      </c>
      <c r="K268" s="21" t="s">
        <v>2152</v>
      </c>
      <c r="L268" s="161" t="s">
        <v>59</v>
      </c>
      <c r="M268" s="21" t="s">
        <v>1719</v>
      </c>
      <c r="N268" s="161" t="s">
        <v>2138</v>
      </c>
      <c r="O268" s="21" t="s">
        <v>3425</v>
      </c>
      <c r="P268" s="161" t="s">
        <v>69</v>
      </c>
      <c r="Q268" s="21" t="s">
        <v>70</v>
      </c>
      <c r="R268" s="161">
        <v>80</v>
      </c>
      <c r="S268" s="161" t="s">
        <v>4444</v>
      </c>
      <c r="T268" s="161" t="s">
        <v>4442</v>
      </c>
      <c r="U268" s="161" t="s">
        <v>4401</v>
      </c>
      <c r="V268" s="21" t="s">
        <v>74</v>
      </c>
      <c r="W268" s="21" t="s">
        <v>75</v>
      </c>
      <c r="X268" s="161" t="s">
        <v>3452</v>
      </c>
      <c r="Y268" s="161">
        <v>1.0800000000000001E-2</v>
      </c>
      <c r="Z268" s="161">
        <v>1.55</v>
      </c>
      <c r="AA268" s="161" t="s">
        <v>77</v>
      </c>
      <c r="AB268" s="161" t="s">
        <v>114</v>
      </c>
      <c r="AC268" s="266" t="str">
        <f>HYPERLINK("https://gcsvt.ru/svetodiodnyie-svetilniki/svt-p-direct-600-16w-lv-12v-ac/","Ссылка")</f>
        <v>Ссылка</v>
      </c>
      <c r="AD268" s="167">
        <v>6741</v>
      </c>
    </row>
    <row r="269" spans="1:30" s="161" customFormat="1" ht="39.950000000000003" hidden="1" customHeight="1" outlineLevel="2" x14ac:dyDescent="0.25">
      <c r="A269" s="21"/>
      <c r="B269" s="21" t="s">
        <v>4416</v>
      </c>
      <c r="C269" s="159" t="s">
        <v>4357</v>
      </c>
      <c r="D269" s="240">
        <v>2080</v>
      </c>
      <c r="E269" s="161">
        <v>16</v>
      </c>
      <c r="F269" s="161">
        <v>130</v>
      </c>
      <c r="G269" s="161" t="s">
        <v>4429</v>
      </c>
      <c r="H269" s="161" t="s">
        <v>4379</v>
      </c>
      <c r="I269" s="161">
        <v>65</v>
      </c>
      <c r="J269" s="161" t="s">
        <v>389</v>
      </c>
      <c r="K269" s="21" t="s">
        <v>2155</v>
      </c>
      <c r="L269" s="161" t="s">
        <v>59</v>
      </c>
      <c r="M269" s="21" t="s">
        <v>1719</v>
      </c>
      <c r="N269" s="161" t="s">
        <v>2138</v>
      </c>
      <c r="O269" s="21" t="s">
        <v>3425</v>
      </c>
      <c r="P269" s="161" t="s">
        <v>69</v>
      </c>
      <c r="Q269" s="21" t="s">
        <v>70</v>
      </c>
      <c r="R269" s="161">
        <v>80</v>
      </c>
      <c r="S269" s="161" t="s">
        <v>4444</v>
      </c>
      <c r="T269" s="161" t="s">
        <v>4442</v>
      </c>
      <c r="U269" s="161" t="s">
        <v>4402</v>
      </c>
      <c r="V269" s="21" t="s">
        <v>74</v>
      </c>
      <c r="W269" s="21" t="s">
        <v>75</v>
      </c>
      <c r="X269" s="161" t="s">
        <v>3452</v>
      </c>
      <c r="Y269" s="161">
        <v>1.0800000000000001E-2</v>
      </c>
      <c r="Z269" s="161">
        <v>1.55</v>
      </c>
      <c r="AA269" s="161" t="s">
        <v>77</v>
      </c>
      <c r="AB269" s="161" t="s">
        <v>114</v>
      </c>
      <c r="AC269" s="266" t="str">
        <f>HYPERLINK("https://gcsvt.ru/svetodiodnyie-svetilniki/svt-p-direct-600-16w-lv-24v-ac/","Ссылка")</f>
        <v>Ссылка</v>
      </c>
      <c r="AD269" s="167">
        <v>6741</v>
      </c>
    </row>
    <row r="270" spans="1:30" s="161" customFormat="1" ht="39.950000000000003" hidden="1" customHeight="1" outlineLevel="2" x14ac:dyDescent="0.25">
      <c r="A270" s="21"/>
      <c r="B270" s="21" t="s">
        <v>4416</v>
      </c>
      <c r="C270" s="159" t="s">
        <v>4358</v>
      </c>
      <c r="D270" s="240">
        <v>2080</v>
      </c>
      <c r="E270" s="161">
        <v>16</v>
      </c>
      <c r="F270" s="161">
        <v>130</v>
      </c>
      <c r="G270" s="161" t="s">
        <v>4431</v>
      </c>
      <c r="H270" s="161" t="s">
        <v>4380</v>
      </c>
      <c r="I270" s="161">
        <v>65</v>
      </c>
      <c r="J270" s="161" t="s">
        <v>389</v>
      </c>
      <c r="K270" s="21" t="s">
        <v>2158</v>
      </c>
      <c r="L270" s="161" t="s">
        <v>59</v>
      </c>
      <c r="M270" s="21" t="s">
        <v>1719</v>
      </c>
      <c r="N270" s="161" t="s">
        <v>2138</v>
      </c>
      <c r="O270" s="21" t="s">
        <v>3425</v>
      </c>
      <c r="P270" s="161" t="s">
        <v>69</v>
      </c>
      <c r="Q270" s="21" t="s">
        <v>70</v>
      </c>
      <c r="R270" s="161">
        <v>80</v>
      </c>
      <c r="S270" s="161" t="s">
        <v>4444</v>
      </c>
      <c r="T270" s="161" t="s">
        <v>4442</v>
      </c>
      <c r="U270" s="161" t="s">
        <v>4403</v>
      </c>
      <c r="V270" s="21" t="s">
        <v>74</v>
      </c>
      <c r="W270" s="21" t="s">
        <v>75</v>
      </c>
      <c r="X270" s="161" t="s">
        <v>3452</v>
      </c>
      <c r="Y270" s="161">
        <v>1.0800000000000001E-2</v>
      </c>
      <c r="Z270" s="161">
        <v>1.55</v>
      </c>
      <c r="AA270" s="161" t="s">
        <v>77</v>
      </c>
      <c r="AB270" s="161" t="s">
        <v>114</v>
      </c>
      <c r="AC270" s="266" t="str">
        <f>HYPERLINK("https://gcsvt.ru/svetodiodnyie-svetilniki/svt-p-direct-600-16w-lv-36v-ac/","Ссылка")</f>
        <v>Ссылка</v>
      </c>
      <c r="AD270" s="167">
        <v>6741</v>
      </c>
    </row>
    <row r="271" spans="1:30" s="161" customFormat="1" ht="39.950000000000003" hidden="1" customHeight="1" outlineLevel="2" x14ac:dyDescent="0.25">
      <c r="A271" s="21"/>
      <c r="B271" s="21" t="s">
        <v>4416</v>
      </c>
      <c r="C271" s="159" t="s">
        <v>4359</v>
      </c>
      <c r="D271" s="240">
        <v>3120</v>
      </c>
      <c r="E271" s="161">
        <v>24</v>
      </c>
      <c r="F271" s="161">
        <v>130</v>
      </c>
      <c r="G271" s="161" t="s">
        <v>4434</v>
      </c>
      <c r="H271" s="161" t="s">
        <v>4381</v>
      </c>
      <c r="I271" s="161">
        <v>65</v>
      </c>
      <c r="J271" s="161" t="s">
        <v>389</v>
      </c>
      <c r="K271" s="21" t="s">
        <v>2142</v>
      </c>
      <c r="L271" s="161" t="s">
        <v>59</v>
      </c>
      <c r="M271" s="21" t="s">
        <v>1719</v>
      </c>
      <c r="N271" s="161" t="s">
        <v>2138</v>
      </c>
      <c r="O271" s="21" t="s">
        <v>3425</v>
      </c>
      <c r="P271" s="161" t="s">
        <v>69</v>
      </c>
      <c r="Q271" s="21" t="s">
        <v>70</v>
      </c>
      <c r="R271" s="161">
        <v>80</v>
      </c>
      <c r="S271" s="161" t="s">
        <v>4445</v>
      </c>
      <c r="T271" s="161" t="s">
        <v>4442</v>
      </c>
      <c r="U271" s="161" t="s">
        <v>4404</v>
      </c>
      <c r="V271" s="21" t="s">
        <v>74</v>
      </c>
      <c r="W271" s="21" t="s">
        <v>75</v>
      </c>
      <c r="X271" s="161" t="s">
        <v>3454</v>
      </c>
      <c r="Y271" s="161">
        <v>1.0800000000000001E-2</v>
      </c>
      <c r="Z271" s="161">
        <v>2.1</v>
      </c>
      <c r="AA271" s="161" t="s">
        <v>77</v>
      </c>
      <c r="AB271" s="161" t="s">
        <v>114</v>
      </c>
      <c r="AC271" s="266" t="str">
        <f>HYPERLINK("https://gcsvt.ru/svetodiodnyie-svetilniki/svt-p-direct-900-24w-lv-12v-dc/","Ссылка")</f>
        <v>Ссылка</v>
      </c>
      <c r="AD271" s="167">
        <v>9053</v>
      </c>
    </row>
    <row r="272" spans="1:30" s="161" customFormat="1" ht="39.950000000000003" hidden="1" customHeight="1" outlineLevel="2" x14ac:dyDescent="0.25">
      <c r="A272" s="21"/>
      <c r="B272" s="21" t="s">
        <v>4416</v>
      </c>
      <c r="C272" s="159" t="s">
        <v>4360</v>
      </c>
      <c r="D272" s="240">
        <v>3120</v>
      </c>
      <c r="E272" s="161">
        <v>24</v>
      </c>
      <c r="F272" s="161">
        <v>130</v>
      </c>
      <c r="G272" s="161" t="s">
        <v>4436</v>
      </c>
      <c r="H272" s="161" t="s">
        <v>4382</v>
      </c>
      <c r="I272" s="161">
        <v>65</v>
      </c>
      <c r="J272" s="161" t="s">
        <v>389</v>
      </c>
      <c r="K272" s="21" t="s">
        <v>1876</v>
      </c>
      <c r="L272" s="161" t="s">
        <v>59</v>
      </c>
      <c r="M272" s="21" t="s">
        <v>1719</v>
      </c>
      <c r="N272" s="161" t="s">
        <v>2138</v>
      </c>
      <c r="O272" s="21" t="s">
        <v>3425</v>
      </c>
      <c r="P272" s="161" t="s">
        <v>69</v>
      </c>
      <c r="Q272" s="21" t="s">
        <v>70</v>
      </c>
      <c r="R272" s="161">
        <v>80</v>
      </c>
      <c r="S272" s="161" t="s">
        <v>4445</v>
      </c>
      <c r="T272" s="161" t="s">
        <v>4442</v>
      </c>
      <c r="U272" s="161" t="s">
        <v>4405</v>
      </c>
      <c r="V272" s="21" t="s">
        <v>74</v>
      </c>
      <c r="W272" s="21" t="s">
        <v>75</v>
      </c>
      <c r="X272" s="161" t="s">
        <v>3454</v>
      </c>
      <c r="Y272" s="161">
        <v>1.0800000000000001E-2</v>
      </c>
      <c r="Z272" s="161">
        <v>2.1</v>
      </c>
      <c r="AA272" s="161" t="s">
        <v>77</v>
      </c>
      <c r="AB272" s="161" t="s">
        <v>114</v>
      </c>
      <c r="AC272" s="266" t="str">
        <f>HYPERLINK("https://gcsvt.ru/svetodiodnyie-svetilniki/svt-p-direct-900-24w-lv-24v-dc/","Ссылка")</f>
        <v>Ссылка</v>
      </c>
      <c r="AD272" s="167">
        <v>9053</v>
      </c>
    </row>
    <row r="273" spans="1:30" s="161" customFormat="1" ht="39.950000000000003" hidden="1" customHeight="1" outlineLevel="2" x14ac:dyDescent="0.25">
      <c r="A273" s="21"/>
      <c r="B273" s="21" t="s">
        <v>4416</v>
      </c>
      <c r="C273" s="159" t="s">
        <v>4361</v>
      </c>
      <c r="D273" s="240">
        <v>3120</v>
      </c>
      <c r="E273" s="161">
        <v>24</v>
      </c>
      <c r="F273" s="161">
        <v>130</v>
      </c>
      <c r="G273" s="161" t="s">
        <v>4438</v>
      </c>
      <c r="H273" s="161" t="s">
        <v>4383</v>
      </c>
      <c r="I273" s="161">
        <v>65</v>
      </c>
      <c r="J273" s="161" t="s">
        <v>389</v>
      </c>
      <c r="K273" s="21" t="s">
        <v>2149</v>
      </c>
      <c r="L273" s="161" t="s">
        <v>59</v>
      </c>
      <c r="M273" s="21" t="s">
        <v>1719</v>
      </c>
      <c r="N273" s="161" t="s">
        <v>2138</v>
      </c>
      <c r="O273" s="21" t="s">
        <v>3425</v>
      </c>
      <c r="P273" s="161" t="s">
        <v>69</v>
      </c>
      <c r="Q273" s="21" t="s">
        <v>70</v>
      </c>
      <c r="R273" s="161">
        <v>80</v>
      </c>
      <c r="S273" s="161" t="s">
        <v>4445</v>
      </c>
      <c r="T273" s="161" t="s">
        <v>4442</v>
      </c>
      <c r="U273" s="161" t="s">
        <v>4406</v>
      </c>
      <c r="V273" s="21" t="s">
        <v>74</v>
      </c>
      <c r="W273" s="21" t="s">
        <v>75</v>
      </c>
      <c r="X273" s="161" t="s">
        <v>3454</v>
      </c>
      <c r="Y273" s="161">
        <v>1.0800000000000001E-2</v>
      </c>
      <c r="Z273" s="161">
        <v>2.1</v>
      </c>
      <c r="AA273" s="161" t="s">
        <v>77</v>
      </c>
      <c r="AB273" s="161" t="s">
        <v>114</v>
      </c>
      <c r="AC273" s="266" t="str">
        <f>HYPERLINK("https://gcsvt.ru/svetodiodnyie-svetilniki/svt-p-direct-900-24w-lv-36v-dc/","Ссылка")</f>
        <v>Ссылка</v>
      </c>
      <c r="AD273" s="167">
        <v>9053</v>
      </c>
    </row>
    <row r="274" spans="1:30" s="161" customFormat="1" ht="39.950000000000003" hidden="1" customHeight="1" outlineLevel="2" x14ac:dyDescent="0.25">
      <c r="A274" s="21"/>
      <c r="B274" s="21" t="s">
        <v>4416</v>
      </c>
      <c r="C274" s="159" t="s">
        <v>4362</v>
      </c>
      <c r="D274" s="240">
        <v>3120</v>
      </c>
      <c r="E274" s="161">
        <v>24</v>
      </c>
      <c r="F274" s="161">
        <v>130</v>
      </c>
      <c r="G274" s="161" t="s">
        <v>4433</v>
      </c>
      <c r="H274" s="161" t="s">
        <v>4384</v>
      </c>
      <c r="I274" s="161">
        <v>65</v>
      </c>
      <c r="J274" s="161" t="s">
        <v>389</v>
      </c>
      <c r="K274" s="21" t="s">
        <v>2152</v>
      </c>
      <c r="L274" s="161" t="s">
        <v>59</v>
      </c>
      <c r="M274" s="21" t="s">
        <v>1719</v>
      </c>
      <c r="N274" s="161" t="s">
        <v>2138</v>
      </c>
      <c r="O274" s="21" t="s">
        <v>3425</v>
      </c>
      <c r="P274" s="161" t="s">
        <v>69</v>
      </c>
      <c r="Q274" s="21" t="s">
        <v>70</v>
      </c>
      <c r="R274" s="161">
        <v>80</v>
      </c>
      <c r="S274" s="161" t="s">
        <v>4445</v>
      </c>
      <c r="T274" s="161" t="s">
        <v>4442</v>
      </c>
      <c r="U274" s="161" t="s">
        <v>4407</v>
      </c>
      <c r="V274" s="21" t="s">
        <v>74</v>
      </c>
      <c r="W274" s="21" t="s">
        <v>75</v>
      </c>
      <c r="X274" s="161" t="s">
        <v>3454</v>
      </c>
      <c r="Y274" s="161">
        <v>1.0800000000000001E-2</v>
      </c>
      <c r="Z274" s="161">
        <v>2.1</v>
      </c>
      <c r="AA274" s="161" t="s">
        <v>77</v>
      </c>
      <c r="AB274" s="161" t="s">
        <v>114</v>
      </c>
      <c r="AC274" s="266" t="str">
        <f>HYPERLINK("https://gcsvt.ru/svetodiodnyie-svetilniki/svt-p-direct-900-24w-lv-12v-ac/","Ссылка")</f>
        <v>Ссылка</v>
      </c>
      <c r="AD274" s="167">
        <v>9053</v>
      </c>
    </row>
    <row r="275" spans="1:30" s="161" customFormat="1" ht="39.950000000000003" hidden="1" customHeight="1" outlineLevel="2" x14ac:dyDescent="0.25">
      <c r="A275" s="21"/>
      <c r="B275" s="21" t="s">
        <v>4416</v>
      </c>
      <c r="C275" s="159" t="s">
        <v>4363</v>
      </c>
      <c r="D275" s="240">
        <v>3120</v>
      </c>
      <c r="E275" s="161">
        <v>24</v>
      </c>
      <c r="F275" s="161">
        <v>130</v>
      </c>
      <c r="G275" s="161" t="s">
        <v>4435</v>
      </c>
      <c r="H275" s="161" t="s">
        <v>4385</v>
      </c>
      <c r="I275" s="161">
        <v>65</v>
      </c>
      <c r="J275" s="161" t="s">
        <v>389</v>
      </c>
      <c r="K275" s="21" t="s">
        <v>2155</v>
      </c>
      <c r="L275" s="161" t="s">
        <v>59</v>
      </c>
      <c r="M275" s="21" t="s">
        <v>1719</v>
      </c>
      <c r="N275" s="161" t="s">
        <v>2138</v>
      </c>
      <c r="O275" s="21" t="s">
        <v>3425</v>
      </c>
      <c r="P275" s="161" t="s">
        <v>69</v>
      </c>
      <c r="Q275" s="21" t="s">
        <v>70</v>
      </c>
      <c r="R275" s="161">
        <v>80</v>
      </c>
      <c r="S275" s="161" t="s">
        <v>4445</v>
      </c>
      <c r="T275" s="161" t="s">
        <v>4442</v>
      </c>
      <c r="U275" s="161" t="s">
        <v>4408</v>
      </c>
      <c r="V275" s="21" t="s">
        <v>74</v>
      </c>
      <c r="W275" s="21" t="s">
        <v>75</v>
      </c>
      <c r="X275" s="161" t="s">
        <v>3454</v>
      </c>
      <c r="Y275" s="161">
        <v>1.0800000000000001E-2</v>
      </c>
      <c r="Z275" s="161">
        <v>2.1</v>
      </c>
      <c r="AA275" s="161" t="s">
        <v>77</v>
      </c>
      <c r="AB275" s="161" t="s">
        <v>114</v>
      </c>
      <c r="AC275" s="266" t="str">
        <f>HYPERLINK("https://gcsvt.ru/svetodiodnyie-svetilniki/svt-p-direct-900-24w-lv-24v-ac/","Ссылка")</f>
        <v>Ссылка</v>
      </c>
      <c r="AD275" s="167">
        <v>9053</v>
      </c>
    </row>
    <row r="276" spans="1:30" s="161" customFormat="1" ht="39.950000000000003" hidden="1" customHeight="1" outlineLevel="2" x14ac:dyDescent="0.25">
      <c r="A276" s="21"/>
      <c r="B276" s="21" t="s">
        <v>4416</v>
      </c>
      <c r="C276" s="159" t="s">
        <v>4364</v>
      </c>
      <c r="D276" s="240">
        <v>3120</v>
      </c>
      <c r="E276" s="161">
        <v>24</v>
      </c>
      <c r="F276" s="161">
        <v>130</v>
      </c>
      <c r="G276" s="161" t="s">
        <v>4437</v>
      </c>
      <c r="H276" s="161" t="s">
        <v>4386</v>
      </c>
      <c r="I276" s="161">
        <v>65</v>
      </c>
      <c r="J276" s="161" t="s">
        <v>389</v>
      </c>
      <c r="K276" s="21" t="s">
        <v>2158</v>
      </c>
      <c r="L276" s="161" t="s">
        <v>59</v>
      </c>
      <c r="M276" s="21" t="s">
        <v>1719</v>
      </c>
      <c r="N276" s="161" t="s">
        <v>2138</v>
      </c>
      <c r="O276" s="21" t="s">
        <v>3425</v>
      </c>
      <c r="P276" s="161" t="s">
        <v>69</v>
      </c>
      <c r="Q276" s="21" t="s">
        <v>70</v>
      </c>
      <c r="R276" s="161">
        <v>80</v>
      </c>
      <c r="S276" s="161" t="s">
        <v>4445</v>
      </c>
      <c r="T276" s="161" t="s">
        <v>4442</v>
      </c>
      <c r="U276" s="161" t="s">
        <v>4409</v>
      </c>
      <c r="V276" s="21" t="s">
        <v>74</v>
      </c>
      <c r="W276" s="21" t="s">
        <v>75</v>
      </c>
      <c r="X276" s="161" t="s">
        <v>3454</v>
      </c>
      <c r="Y276" s="161">
        <v>1.0800000000000001E-2</v>
      </c>
      <c r="Z276" s="161">
        <v>2.1</v>
      </c>
      <c r="AA276" s="161" t="s">
        <v>77</v>
      </c>
      <c r="AB276" s="161" t="s">
        <v>114</v>
      </c>
      <c r="AC276" s="266" t="str">
        <f>HYPERLINK("https://gcsvt.ru/svetodiodnyie-svetilniki/svt-p-direct-900-24w-lv-36v-ac/","Ссылка")</f>
        <v>Ссылка</v>
      </c>
      <c r="AD276" s="167">
        <v>9053</v>
      </c>
    </row>
    <row r="277" spans="1:30" s="161" customFormat="1" ht="39.950000000000003" hidden="1" customHeight="1" outlineLevel="2" x14ac:dyDescent="0.25">
      <c r="A277" s="21"/>
      <c r="B277" s="21" t="s">
        <v>4416</v>
      </c>
      <c r="C277" s="159" t="s">
        <v>4365</v>
      </c>
      <c r="D277" s="240">
        <v>4160</v>
      </c>
      <c r="E277" s="161">
        <v>32</v>
      </c>
      <c r="F277" s="161">
        <v>130</v>
      </c>
      <c r="G277" s="161" t="s">
        <v>4419</v>
      </c>
      <c r="H277" s="161" t="s">
        <v>4387</v>
      </c>
      <c r="I277" s="161">
        <v>65</v>
      </c>
      <c r="J277" s="161" t="s">
        <v>389</v>
      </c>
      <c r="K277" s="21" t="s">
        <v>2142</v>
      </c>
      <c r="L277" s="161" t="s">
        <v>59</v>
      </c>
      <c r="M277" s="21" t="s">
        <v>1719</v>
      </c>
      <c r="N277" s="161" t="s">
        <v>2138</v>
      </c>
      <c r="O277" s="21" t="s">
        <v>3425</v>
      </c>
      <c r="P277" s="161" t="s">
        <v>69</v>
      </c>
      <c r="Q277" s="21" t="s">
        <v>70</v>
      </c>
      <c r="R277" s="161">
        <v>80</v>
      </c>
      <c r="S277" s="161" t="s">
        <v>4446</v>
      </c>
      <c r="T277" s="161" t="s">
        <v>4442</v>
      </c>
      <c r="U277" s="161" t="s">
        <v>4410</v>
      </c>
      <c r="V277" s="21" t="s">
        <v>74</v>
      </c>
      <c r="W277" s="21" t="s">
        <v>75</v>
      </c>
      <c r="X277" s="161" t="s">
        <v>3455</v>
      </c>
      <c r="Y277" s="161">
        <v>1.0800000000000001E-2</v>
      </c>
      <c r="Z277" s="161">
        <v>2.6</v>
      </c>
      <c r="AA277" s="161" t="s">
        <v>77</v>
      </c>
      <c r="AB277" s="161" t="s">
        <v>114</v>
      </c>
      <c r="AC277" s="266" t="str">
        <f>HYPERLINK("https://gcsvt.ru/svetodiodnyie-svetilniki/svt-p-direct-1200-32w-lv-12v-dc/","Ссылка")</f>
        <v>Ссылка</v>
      </c>
      <c r="AD277" s="167">
        <v>10115</v>
      </c>
    </row>
    <row r="278" spans="1:30" s="161" customFormat="1" ht="39.950000000000003" hidden="1" customHeight="1" outlineLevel="2" x14ac:dyDescent="0.25">
      <c r="A278" s="21"/>
      <c r="B278" s="21" t="s">
        <v>4416</v>
      </c>
      <c r="C278" s="159" t="s">
        <v>4366</v>
      </c>
      <c r="D278" s="240">
        <v>4160</v>
      </c>
      <c r="E278" s="161">
        <v>32</v>
      </c>
      <c r="F278" s="161">
        <v>130</v>
      </c>
      <c r="G278" s="161" t="s">
        <v>4418</v>
      </c>
      <c r="H278" s="161" t="s">
        <v>4388</v>
      </c>
      <c r="I278" s="161">
        <v>65</v>
      </c>
      <c r="J278" s="161" t="s">
        <v>389</v>
      </c>
      <c r="K278" s="21" t="s">
        <v>1876</v>
      </c>
      <c r="L278" s="161" t="s">
        <v>59</v>
      </c>
      <c r="M278" s="21" t="s">
        <v>1719</v>
      </c>
      <c r="N278" s="161" t="s">
        <v>2138</v>
      </c>
      <c r="O278" s="21" t="s">
        <v>3425</v>
      </c>
      <c r="P278" s="161" t="s">
        <v>69</v>
      </c>
      <c r="Q278" s="21" t="s">
        <v>70</v>
      </c>
      <c r="R278" s="161">
        <v>80</v>
      </c>
      <c r="S278" s="161" t="s">
        <v>4446</v>
      </c>
      <c r="T278" s="161" t="s">
        <v>4442</v>
      </c>
      <c r="U278" s="161" t="s">
        <v>4411</v>
      </c>
      <c r="V278" s="21" t="s">
        <v>74</v>
      </c>
      <c r="W278" s="21" t="s">
        <v>75</v>
      </c>
      <c r="X278" s="161" t="s">
        <v>3455</v>
      </c>
      <c r="Y278" s="161">
        <v>1.0800000000000001E-2</v>
      </c>
      <c r="Z278" s="161">
        <v>2.6</v>
      </c>
      <c r="AA278" s="161" t="s">
        <v>77</v>
      </c>
      <c r="AB278" s="161" t="s">
        <v>114</v>
      </c>
      <c r="AC278" s="266" t="str">
        <f>HYPERLINK("https://gcsvt.ru/svetodiodnyie-svetilniki/svt-p-direct-1200-32w-lv-24v-dc/","Ссылка")</f>
        <v>Ссылка</v>
      </c>
      <c r="AD278" s="167">
        <v>10115</v>
      </c>
    </row>
    <row r="279" spans="1:30" s="161" customFormat="1" ht="39.950000000000003" hidden="1" customHeight="1" outlineLevel="2" x14ac:dyDescent="0.25">
      <c r="A279" s="21"/>
      <c r="B279" s="21" t="s">
        <v>4416</v>
      </c>
      <c r="C279" s="159" t="s">
        <v>4367</v>
      </c>
      <c r="D279" s="240">
        <v>4160</v>
      </c>
      <c r="E279" s="161">
        <v>32</v>
      </c>
      <c r="F279" s="161">
        <v>130</v>
      </c>
      <c r="G279" s="161" t="s">
        <v>4421</v>
      </c>
      <c r="H279" s="161" t="s">
        <v>4389</v>
      </c>
      <c r="I279" s="161">
        <v>65</v>
      </c>
      <c r="J279" s="161" t="s">
        <v>389</v>
      </c>
      <c r="K279" s="21" t="s">
        <v>2149</v>
      </c>
      <c r="L279" s="161" t="s">
        <v>59</v>
      </c>
      <c r="M279" s="21" t="s">
        <v>1719</v>
      </c>
      <c r="N279" s="161" t="s">
        <v>2138</v>
      </c>
      <c r="O279" s="21" t="s">
        <v>3425</v>
      </c>
      <c r="P279" s="161" t="s">
        <v>69</v>
      </c>
      <c r="Q279" s="21" t="s">
        <v>70</v>
      </c>
      <c r="R279" s="161">
        <v>80</v>
      </c>
      <c r="S279" s="161" t="s">
        <v>4446</v>
      </c>
      <c r="T279" s="161" t="s">
        <v>4442</v>
      </c>
      <c r="U279" s="161" t="s">
        <v>4412</v>
      </c>
      <c r="V279" s="21" t="s">
        <v>74</v>
      </c>
      <c r="W279" s="21" t="s">
        <v>75</v>
      </c>
      <c r="X279" s="161" t="s">
        <v>3455</v>
      </c>
      <c r="Y279" s="161">
        <v>1.0800000000000001E-2</v>
      </c>
      <c r="Z279" s="161">
        <v>2.6</v>
      </c>
      <c r="AA279" s="161" t="s">
        <v>77</v>
      </c>
      <c r="AB279" s="161" t="s">
        <v>114</v>
      </c>
      <c r="AC279" s="266" t="str">
        <f>HYPERLINK("https://gcsvt.ru/svetodiodnyie-svetilniki/svt-p-direct-1200-32w-lv-36v-dc/","Ссылка")</f>
        <v>Ссылка</v>
      </c>
      <c r="AD279" s="167">
        <v>10115</v>
      </c>
    </row>
    <row r="280" spans="1:30" s="161" customFormat="1" ht="39.950000000000003" hidden="1" customHeight="1" outlineLevel="2" x14ac:dyDescent="0.25">
      <c r="A280" s="21"/>
      <c r="B280" s="21" t="s">
        <v>4416</v>
      </c>
      <c r="C280" s="159" t="s">
        <v>4368</v>
      </c>
      <c r="D280" s="240">
        <v>4160</v>
      </c>
      <c r="E280" s="161">
        <v>32</v>
      </c>
      <c r="F280" s="161">
        <v>130</v>
      </c>
      <c r="G280" s="161" t="s">
        <v>4417</v>
      </c>
      <c r="H280" s="161" t="s">
        <v>4390</v>
      </c>
      <c r="I280" s="161">
        <v>65</v>
      </c>
      <c r="J280" s="161" t="s">
        <v>389</v>
      </c>
      <c r="K280" s="21" t="s">
        <v>2152</v>
      </c>
      <c r="L280" s="161" t="s">
        <v>59</v>
      </c>
      <c r="M280" s="21" t="s">
        <v>1719</v>
      </c>
      <c r="N280" s="161" t="s">
        <v>2138</v>
      </c>
      <c r="O280" s="21" t="s">
        <v>3425</v>
      </c>
      <c r="P280" s="161" t="s">
        <v>69</v>
      </c>
      <c r="Q280" s="21" t="s">
        <v>70</v>
      </c>
      <c r="R280" s="161">
        <v>80</v>
      </c>
      <c r="S280" s="161" t="s">
        <v>4446</v>
      </c>
      <c r="T280" s="161" t="s">
        <v>4442</v>
      </c>
      <c r="U280" s="161" t="s">
        <v>4413</v>
      </c>
      <c r="V280" s="21" t="s">
        <v>74</v>
      </c>
      <c r="W280" s="21" t="s">
        <v>75</v>
      </c>
      <c r="X280" s="161" t="s">
        <v>3455</v>
      </c>
      <c r="Y280" s="161">
        <v>1.0800000000000001E-2</v>
      </c>
      <c r="Z280" s="161">
        <v>2.6</v>
      </c>
      <c r="AA280" s="161" t="s">
        <v>77</v>
      </c>
      <c r="AB280" s="161" t="s">
        <v>114</v>
      </c>
      <c r="AC280" s="266" t="str">
        <f>HYPERLINK("https://gcsvt.ru/svetodiodnyie-svetilniki/svt-p-direct-1200-32w-lv-12v-ac/","Ссылка")</f>
        <v>Ссылка</v>
      </c>
      <c r="AD280" s="167">
        <v>10115</v>
      </c>
    </row>
    <row r="281" spans="1:30" s="161" customFormat="1" ht="39.950000000000003" hidden="1" customHeight="1" outlineLevel="2" x14ac:dyDescent="0.25">
      <c r="A281" s="21"/>
      <c r="B281" s="21" t="s">
        <v>4416</v>
      </c>
      <c r="C281" s="159" t="s">
        <v>4369</v>
      </c>
      <c r="D281" s="240">
        <v>4160</v>
      </c>
      <c r="E281" s="161">
        <v>32</v>
      </c>
      <c r="F281" s="161">
        <v>130</v>
      </c>
      <c r="G281" s="161" t="s">
        <v>4420</v>
      </c>
      <c r="H281" s="161" t="s">
        <v>4391</v>
      </c>
      <c r="I281" s="161">
        <v>65</v>
      </c>
      <c r="J281" s="161" t="s">
        <v>389</v>
      </c>
      <c r="K281" s="21" t="s">
        <v>2155</v>
      </c>
      <c r="L281" s="161" t="s">
        <v>59</v>
      </c>
      <c r="M281" s="21" t="s">
        <v>1719</v>
      </c>
      <c r="N281" s="161" t="s">
        <v>2138</v>
      </c>
      <c r="O281" s="21" t="s">
        <v>3425</v>
      </c>
      <c r="P281" s="161" t="s">
        <v>69</v>
      </c>
      <c r="Q281" s="21" t="s">
        <v>70</v>
      </c>
      <c r="R281" s="161">
        <v>80</v>
      </c>
      <c r="S281" s="161" t="s">
        <v>4446</v>
      </c>
      <c r="T281" s="161" t="s">
        <v>4442</v>
      </c>
      <c r="U281" s="161" t="s">
        <v>4414</v>
      </c>
      <c r="V281" s="21" t="s">
        <v>74</v>
      </c>
      <c r="W281" s="21" t="s">
        <v>75</v>
      </c>
      <c r="X281" s="161" t="s">
        <v>3455</v>
      </c>
      <c r="Y281" s="161">
        <v>1.0800000000000001E-2</v>
      </c>
      <c r="Z281" s="161">
        <v>2.6</v>
      </c>
      <c r="AA281" s="161" t="s">
        <v>77</v>
      </c>
      <c r="AB281" s="161" t="s">
        <v>114</v>
      </c>
      <c r="AC281" s="266" t="str">
        <f>HYPERLINK("https://gcsvt.ru/svetodiodnyie-svetilniki/svt-p-direct-1200-32w-lv-24v-ac/","Ссылка")</f>
        <v>Ссылка</v>
      </c>
      <c r="AD281" s="167">
        <v>10115</v>
      </c>
    </row>
    <row r="282" spans="1:30" s="161" customFormat="1" ht="39.950000000000003" hidden="1" customHeight="1" outlineLevel="2" x14ac:dyDescent="0.25">
      <c r="A282" s="21"/>
      <c r="B282" s="21" t="s">
        <v>4416</v>
      </c>
      <c r="C282" s="159" t="s">
        <v>4370</v>
      </c>
      <c r="D282" s="240">
        <v>4160</v>
      </c>
      <c r="E282" s="161">
        <v>32</v>
      </c>
      <c r="F282" s="161">
        <v>130</v>
      </c>
      <c r="G282" s="161" t="s">
        <v>4440</v>
      </c>
      <c r="H282" s="161" t="s">
        <v>4392</v>
      </c>
      <c r="I282" s="161">
        <v>65</v>
      </c>
      <c r="J282" s="161" t="s">
        <v>389</v>
      </c>
      <c r="K282" s="21" t="s">
        <v>2158</v>
      </c>
      <c r="L282" s="161" t="s">
        <v>59</v>
      </c>
      <c r="M282" s="21" t="s">
        <v>1719</v>
      </c>
      <c r="N282" s="161" t="s">
        <v>2138</v>
      </c>
      <c r="O282" s="21" t="s">
        <v>3425</v>
      </c>
      <c r="P282" s="161" t="s">
        <v>69</v>
      </c>
      <c r="Q282" s="21" t="s">
        <v>70</v>
      </c>
      <c r="R282" s="161">
        <v>80</v>
      </c>
      <c r="S282" s="161" t="s">
        <v>4446</v>
      </c>
      <c r="T282" s="161" t="s">
        <v>4442</v>
      </c>
      <c r="U282" s="161" t="s">
        <v>4415</v>
      </c>
      <c r="V282" s="21" t="s">
        <v>74</v>
      </c>
      <c r="W282" s="21" t="s">
        <v>75</v>
      </c>
      <c r="X282" s="161" t="s">
        <v>3455</v>
      </c>
      <c r="Y282" s="161">
        <v>1.0800000000000001E-2</v>
      </c>
      <c r="Z282" s="161">
        <v>2.6</v>
      </c>
      <c r="AA282" s="161" t="s">
        <v>77</v>
      </c>
      <c r="AB282" s="161" t="s">
        <v>114</v>
      </c>
      <c r="AC282" s="266" t="str">
        <f>HYPERLINK("https://gcsvt.ru/svetodiodnyie-svetilniki/svt-p-direct-1200-32w-lv-36v-ac/","Ссылка")</f>
        <v>Ссылка</v>
      </c>
      <c r="AD282" s="167">
        <v>10115</v>
      </c>
    </row>
    <row r="283" spans="1:30" s="161" customFormat="1" ht="39.950000000000003" hidden="1" customHeight="1" outlineLevel="2" x14ac:dyDescent="0.25">
      <c r="A283" s="21"/>
      <c r="B283" s="47" t="s">
        <v>4467</v>
      </c>
      <c r="C283" s="159"/>
      <c r="D283" s="240"/>
      <c r="K283" s="21"/>
      <c r="M283" s="21"/>
      <c r="O283" s="21"/>
      <c r="Q283" s="21"/>
      <c r="V283" s="21"/>
      <c r="W283" s="21"/>
      <c r="AC283" s="228"/>
      <c r="AD283" s="167"/>
    </row>
    <row r="284" spans="1:30" s="161" customFormat="1" ht="39.950000000000003" customHeight="1" collapsed="1" x14ac:dyDescent="0.25">
      <c r="A284" s="165"/>
      <c r="B284" s="195" t="s">
        <v>3998</v>
      </c>
      <c r="C284" s="202"/>
      <c r="D284" s="163"/>
      <c r="E284" s="163"/>
      <c r="F284" s="163"/>
      <c r="G284" s="163"/>
      <c r="H284" s="163"/>
      <c r="I284" s="163"/>
      <c r="J284" s="163"/>
      <c r="K284" s="75"/>
      <c r="L284" s="163"/>
      <c r="M284" s="75"/>
      <c r="N284" s="163"/>
      <c r="O284" s="75"/>
      <c r="P284" s="163"/>
      <c r="Q284" s="75"/>
      <c r="R284" s="163"/>
      <c r="S284" s="163"/>
      <c r="T284" s="163"/>
      <c r="U284" s="163"/>
      <c r="V284" s="75"/>
      <c r="W284" s="75"/>
      <c r="X284" s="163"/>
      <c r="Y284" s="163"/>
      <c r="Z284" s="163"/>
      <c r="AA284" s="163"/>
      <c r="AB284" s="163"/>
      <c r="AC284" s="227"/>
      <c r="AD284" s="164"/>
    </row>
    <row r="285" spans="1:30" s="161" customFormat="1" ht="39.950000000000003" hidden="1" customHeight="1" outlineLevel="1" x14ac:dyDescent="0.25">
      <c r="A285" s="21"/>
      <c r="B285" s="21" t="s">
        <v>1320</v>
      </c>
      <c r="C285" s="159" t="s">
        <v>1321</v>
      </c>
      <c r="D285" s="161">
        <v>7000</v>
      </c>
      <c r="E285" s="161">
        <v>53</v>
      </c>
      <c r="F285" s="161">
        <v>132</v>
      </c>
      <c r="G285" s="161" t="s">
        <v>1322</v>
      </c>
      <c r="H285" s="161" t="s">
        <v>177</v>
      </c>
      <c r="I285" s="161">
        <v>67</v>
      </c>
      <c r="J285" s="161" t="s">
        <v>105</v>
      </c>
      <c r="K285" s="21" t="s">
        <v>106</v>
      </c>
      <c r="L285" s="161" t="s">
        <v>3380</v>
      </c>
      <c r="M285" s="21" t="s">
        <v>107</v>
      </c>
      <c r="N285" s="161" t="s">
        <v>108</v>
      </c>
      <c r="O285" s="21" t="s">
        <v>68</v>
      </c>
      <c r="P285" s="161" t="s">
        <v>109</v>
      </c>
      <c r="Q285" s="21" t="s">
        <v>1323</v>
      </c>
      <c r="R285" s="161" t="s">
        <v>1324</v>
      </c>
      <c r="S285" s="161" t="s">
        <v>1325</v>
      </c>
      <c r="T285" s="161" t="s">
        <v>174</v>
      </c>
      <c r="U285" s="161" t="s">
        <v>73</v>
      </c>
      <c r="V285" s="21" t="s">
        <v>74</v>
      </c>
      <c r="W285" s="21" t="s">
        <v>75</v>
      </c>
      <c r="X285" s="161" t="s">
        <v>201</v>
      </c>
      <c r="Y285" s="161">
        <v>0.01</v>
      </c>
      <c r="Z285" s="161">
        <v>2</v>
      </c>
      <c r="AA285" s="161" t="s">
        <v>144</v>
      </c>
      <c r="AB285" s="161" t="s">
        <v>114</v>
      </c>
      <c r="AC285" s="266" t="str">
        <f>HYPERLINK("https://gcsvt.ru/svetodiodnyie-svetilniki/svt-str-mpro-53w-20-cri90-5700k/","Ссылка")</f>
        <v>Ссылка</v>
      </c>
      <c r="AD285" s="170" t="s">
        <v>2859</v>
      </c>
    </row>
    <row r="286" spans="1:30" s="161" customFormat="1" ht="39.950000000000003" hidden="1" customHeight="1" outlineLevel="1" x14ac:dyDescent="0.25">
      <c r="A286" s="21"/>
      <c r="B286" s="21" t="s">
        <v>1320</v>
      </c>
      <c r="C286" s="159" t="s">
        <v>1326</v>
      </c>
      <c r="D286" s="161">
        <v>7000</v>
      </c>
      <c r="E286" s="161">
        <v>53</v>
      </c>
      <c r="F286" s="161">
        <v>132</v>
      </c>
      <c r="G286" s="161" t="s">
        <v>1327</v>
      </c>
      <c r="H286" s="161" t="s">
        <v>180</v>
      </c>
      <c r="I286" s="161">
        <v>67</v>
      </c>
      <c r="J286" s="161" t="s">
        <v>105</v>
      </c>
      <c r="K286" s="21" t="s">
        <v>106</v>
      </c>
      <c r="L286" s="161" t="s">
        <v>3380</v>
      </c>
      <c r="M286" s="21" t="s">
        <v>107</v>
      </c>
      <c r="N286" s="161" t="s">
        <v>108</v>
      </c>
      <c r="O286" s="21" t="s">
        <v>68</v>
      </c>
      <c r="P286" s="161" t="s">
        <v>109</v>
      </c>
      <c r="Q286" s="21" t="s">
        <v>1323</v>
      </c>
      <c r="R286" s="161" t="s">
        <v>1324</v>
      </c>
      <c r="S286" s="161" t="s">
        <v>1325</v>
      </c>
      <c r="T286" s="161" t="s">
        <v>174</v>
      </c>
      <c r="U286" s="161" t="s">
        <v>73</v>
      </c>
      <c r="V286" s="21" t="s">
        <v>74</v>
      </c>
      <c r="W286" s="21" t="s">
        <v>75</v>
      </c>
      <c r="X286" s="161" t="s">
        <v>201</v>
      </c>
      <c r="Y286" s="161">
        <v>0.01</v>
      </c>
      <c r="Z286" s="161">
        <v>2</v>
      </c>
      <c r="AA286" s="161" t="s">
        <v>144</v>
      </c>
      <c r="AB286" s="161" t="s">
        <v>114</v>
      </c>
      <c r="AC286" s="266" t="str">
        <f>HYPERLINK("https://gcsvt.ru/svetodiodnyie-svetilniki/svt-str-mpro-53w-35-cri90-5700k/","Ссылка")</f>
        <v>Ссылка</v>
      </c>
      <c r="AD286" s="170" t="s">
        <v>2859</v>
      </c>
    </row>
    <row r="287" spans="1:30" s="161" customFormat="1" ht="39.950000000000003" hidden="1" customHeight="1" outlineLevel="1" x14ac:dyDescent="0.25">
      <c r="A287" s="21"/>
      <c r="B287" s="21" t="s">
        <v>1320</v>
      </c>
      <c r="C287" s="159" t="s">
        <v>1328</v>
      </c>
      <c r="D287" s="161">
        <v>7000</v>
      </c>
      <c r="E287" s="161">
        <v>53</v>
      </c>
      <c r="F287" s="161">
        <v>132</v>
      </c>
      <c r="G287" s="161" t="s">
        <v>1329</v>
      </c>
      <c r="H287" s="161" t="s">
        <v>183</v>
      </c>
      <c r="I287" s="161">
        <v>67</v>
      </c>
      <c r="J287" s="161" t="s">
        <v>105</v>
      </c>
      <c r="K287" s="21" t="s">
        <v>106</v>
      </c>
      <c r="L287" s="161" t="s">
        <v>3380</v>
      </c>
      <c r="M287" s="21" t="s">
        <v>107</v>
      </c>
      <c r="N287" s="161" t="s">
        <v>108</v>
      </c>
      <c r="O287" s="21" t="s">
        <v>68</v>
      </c>
      <c r="P287" s="161" t="s">
        <v>109</v>
      </c>
      <c r="Q287" s="21" t="s">
        <v>1323</v>
      </c>
      <c r="R287" s="161" t="s">
        <v>1324</v>
      </c>
      <c r="S287" s="161" t="s">
        <v>1325</v>
      </c>
      <c r="T287" s="161" t="s">
        <v>174</v>
      </c>
      <c r="U287" s="161" t="s">
        <v>73</v>
      </c>
      <c r="V287" s="21" t="s">
        <v>74</v>
      </c>
      <c r="W287" s="21" t="s">
        <v>75</v>
      </c>
      <c r="X287" s="161" t="s">
        <v>201</v>
      </c>
      <c r="Y287" s="161">
        <v>0.01</v>
      </c>
      <c r="Z287" s="161">
        <v>2</v>
      </c>
      <c r="AA287" s="161" t="s">
        <v>144</v>
      </c>
      <c r="AB287" s="161" t="s">
        <v>114</v>
      </c>
      <c r="AC287" s="266" t="str">
        <f>HYPERLINK("https://gcsvt.ru/svetodiodnyie-svetilniki/svt-str-mpro-53w-65-cri90-5700k/","Ссылка")</f>
        <v>Ссылка</v>
      </c>
      <c r="AD287" s="170" t="s">
        <v>2859</v>
      </c>
    </row>
    <row r="288" spans="1:30" s="161" customFormat="1" ht="39.950000000000003" hidden="1" customHeight="1" outlineLevel="1" x14ac:dyDescent="0.25">
      <c r="A288" s="21"/>
      <c r="B288" s="21" t="s">
        <v>1320</v>
      </c>
      <c r="C288" s="159" t="s">
        <v>1330</v>
      </c>
      <c r="D288" s="161">
        <v>10500</v>
      </c>
      <c r="E288" s="161">
        <v>79</v>
      </c>
      <c r="F288" s="161">
        <v>132</v>
      </c>
      <c r="G288" s="161" t="s">
        <v>1331</v>
      </c>
      <c r="H288" s="161" t="s">
        <v>177</v>
      </c>
      <c r="I288" s="161">
        <v>67</v>
      </c>
      <c r="J288" s="161" t="s">
        <v>105</v>
      </c>
      <c r="K288" s="21" t="s">
        <v>106</v>
      </c>
      <c r="L288" s="161" t="s">
        <v>3380</v>
      </c>
      <c r="M288" s="21" t="s">
        <v>1332</v>
      </c>
      <c r="N288" s="161" t="s">
        <v>67</v>
      </c>
      <c r="O288" s="21" t="s">
        <v>68</v>
      </c>
      <c r="P288" s="161" t="s">
        <v>109</v>
      </c>
      <c r="Q288" s="21" t="s">
        <v>1323</v>
      </c>
      <c r="R288" s="161" t="s">
        <v>1324</v>
      </c>
      <c r="S288" s="161" t="s">
        <v>1325</v>
      </c>
      <c r="T288" s="161" t="s">
        <v>174</v>
      </c>
      <c r="U288" s="161" t="s">
        <v>73</v>
      </c>
      <c r="V288" s="21" t="s">
        <v>74</v>
      </c>
      <c r="W288" s="21" t="s">
        <v>257</v>
      </c>
      <c r="X288" s="161" t="s">
        <v>220</v>
      </c>
      <c r="Y288" s="161">
        <v>0.01</v>
      </c>
      <c r="Z288" s="161">
        <v>2.5</v>
      </c>
      <c r="AA288" s="161" t="s">
        <v>77</v>
      </c>
      <c r="AB288" s="161" t="s">
        <v>114</v>
      </c>
      <c r="AC288" s="266" t="str">
        <f>HYPERLINK("https://gcsvt.ru/svetodiodnyie-svetilniki/svt-str-mpro-79w-20-cri90-5700k/","Ссылка")</f>
        <v>Ссылка</v>
      </c>
      <c r="AD288" s="170" t="s">
        <v>2859</v>
      </c>
    </row>
    <row r="289" spans="1:30" s="161" customFormat="1" ht="39.950000000000003" hidden="1" customHeight="1" outlineLevel="1" x14ac:dyDescent="0.25">
      <c r="A289" s="21"/>
      <c r="B289" s="21" t="s">
        <v>1320</v>
      </c>
      <c r="C289" s="159" t="s">
        <v>1333</v>
      </c>
      <c r="D289" s="161">
        <v>10500</v>
      </c>
      <c r="E289" s="161">
        <v>79</v>
      </c>
      <c r="F289" s="161">
        <v>132</v>
      </c>
      <c r="G289" s="161" t="s">
        <v>1334</v>
      </c>
      <c r="H289" s="161" t="s">
        <v>180</v>
      </c>
      <c r="I289" s="161">
        <v>67</v>
      </c>
      <c r="J289" s="161" t="s">
        <v>105</v>
      </c>
      <c r="K289" s="21" t="s">
        <v>106</v>
      </c>
      <c r="L289" s="161" t="s">
        <v>3380</v>
      </c>
      <c r="M289" s="21" t="s">
        <v>1332</v>
      </c>
      <c r="N289" s="161" t="s">
        <v>67</v>
      </c>
      <c r="O289" s="21" t="s">
        <v>68</v>
      </c>
      <c r="P289" s="161" t="s">
        <v>109</v>
      </c>
      <c r="Q289" s="21" t="s">
        <v>1323</v>
      </c>
      <c r="R289" s="161" t="s">
        <v>1324</v>
      </c>
      <c r="S289" s="161" t="s">
        <v>1325</v>
      </c>
      <c r="T289" s="161" t="s">
        <v>174</v>
      </c>
      <c r="U289" s="161" t="s">
        <v>73</v>
      </c>
      <c r="V289" s="21" t="s">
        <v>74</v>
      </c>
      <c r="W289" s="21" t="s">
        <v>257</v>
      </c>
      <c r="X289" s="161" t="s">
        <v>220</v>
      </c>
      <c r="Y289" s="161">
        <v>0.01</v>
      </c>
      <c r="Z289" s="161">
        <v>2.5</v>
      </c>
      <c r="AA289" s="161" t="s">
        <v>77</v>
      </c>
      <c r="AB289" s="161" t="s">
        <v>114</v>
      </c>
      <c r="AC289" s="266" t="str">
        <f>HYPERLINK("https://gcsvt.ru/svetodiodnyie-svetilniki/svt-str-mpro-79w-35-cri90-5700k/","Ссылка")</f>
        <v>Ссылка</v>
      </c>
      <c r="AD289" s="170" t="s">
        <v>2859</v>
      </c>
    </row>
    <row r="290" spans="1:30" s="161" customFormat="1" ht="39.950000000000003" hidden="1" customHeight="1" outlineLevel="1" x14ac:dyDescent="0.25">
      <c r="A290" s="21"/>
      <c r="B290" s="21" t="s">
        <v>1320</v>
      </c>
      <c r="C290" s="159" t="s">
        <v>1335</v>
      </c>
      <c r="D290" s="161">
        <v>10500</v>
      </c>
      <c r="E290" s="161">
        <v>79</v>
      </c>
      <c r="F290" s="161">
        <v>132</v>
      </c>
      <c r="G290" s="161" t="s">
        <v>1336</v>
      </c>
      <c r="H290" s="161" t="s">
        <v>183</v>
      </c>
      <c r="I290" s="161">
        <v>67</v>
      </c>
      <c r="J290" s="161" t="s">
        <v>105</v>
      </c>
      <c r="K290" s="21" t="s">
        <v>106</v>
      </c>
      <c r="L290" s="161" t="s">
        <v>3380</v>
      </c>
      <c r="M290" s="21" t="s">
        <v>1332</v>
      </c>
      <c r="N290" s="161" t="s">
        <v>67</v>
      </c>
      <c r="O290" s="21" t="s">
        <v>68</v>
      </c>
      <c r="P290" s="161" t="s">
        <v>109</v>
      </c>
      <c r="Q290" s="21" t="s">
        <v>1323</v>
      </c>
      <c r="R290" s="161" t="s">
        <v>1324</v>
      </c>
      <c r="S290" s="161" t="s">
        <v>1325</v>
      </c>
      <c r="T290" s="161" t="s">
        <v>174</v>
      </c>
      <c r="U290" s="161" t="s">
        <v>73</v>
      </c>
      <c r="V290" s="21" t="s">
        <v>74</v>
      </c>
      <c r="W290" s="21" t="s">
        <v>257</v>
      </c>
      <c r="X290" s="161" t="s">
        <v>220</v>
      </c>
      <c r="Y290" s="161">
        <v>0.01</v>
      </c>
      <c r="Z290" s="161">
        <v>2.5</v>
      </c>
      <c r="AA290" s="161" t="s">
        <v>77</v>
      </c>
      <c r="AB290" s="161" t="s">
        <v>114</v>
      </c>
      <c r="AC290" s="266" t="str">
        <f>HYPERLINK("https://gcsvt.ru/svetodiodnyie-svetilniki/svt-str-mpro-79w-65-cri90-5700k/","Ссылка")</f>
        <v>Ссылка</v>
      </c>
      <c r="AD290" s="170" t="s">
        <v>2859</v>
      </c>
    </row>
    <row r="291" spans="1:30" s="161" customFormat="1" ht="39.950000000000003" hidden="1" customHeight="1" outlineLevel="1" x14ac:dyDescent="0.25">
      <c r="A291" s="21"/>
      <c r="B291" s="21" t="s">
        <v>1320</v>
      </c>
      <c r="C291" s="159" t="s">
        <v>1337</v>
      </c>
      <c r="D291" s="161">
        <v>14000</v>
      </c>
      <c r="E291" s="161">
        <v>102</v>
      </c>
      <c r="F291" s="161">
        <v>137</v>
      </c>
      <c r="G291" s="161" t="s">
        <v>1338</v>
      </c>
      <c r="H291" s="161" t="s">
        <v>177</v>
      </c>
      <c r="I291" s="161">
        <v>67</v>
      </c>
      <c r="J291" s="161" t="s">
        <v>105</v>
      </c>
      <c r="K291" s="21" t="s">
        <v>106</v>
      </c>
      <c r="L291" s="161" t="s">
        <v>3380</v>
      </c>
      <c r="M291" s="21" t="s">
        <v>1332</v>
      </c>
      <c r="N291" s="161" t="s">
        <v>67</v>
      </c>
      <c r="O291" s="21" t="s">
        <v>68</v>
      </c>
      <c r="P291" s="161" t="s">
        <v>109</v>
      </c>
      <c r="Q291" s="21" t="s">
        <v>1323</v>
      </c>
      <c r="R291" s="161" t="s">
        <v>1324</v>
      </c>
      <c r="S291" s="161" t="s">
        <v>1325</v>
      </c>
      <c r="T291" s="161" t="s">
        <v>174</v>
      </c>
      <c r="U291" s="161" t="s">
        <v>73</v>
      </c>
      <c r="V291" s="21" t="s">
        <v>74</v>
      </c>
      <c r="W291" s="21" t="s">
        <v>257</v>
      </c>
      <c r="X291" s="161" t="s">
        <v>240</v>
      </c>
      <c r="Y291" s="161">
        <v>0.01</v>
      </c>
      <c r="Z291" s="161">
        <v>2.9</v>
      </c>
      <c r="AA291" s="161" t="s">
        <v>77</v>
      </c>
      <c r="AB291" s="161" t="s">
        <v>114</v>
      </c>
      <c r="AC291" s="266" t="str">
        <f>HYPERLINK("https://gcsvt.ru/svetodiodnyie-svetilniki/svt-str-mpro-102w-20-cri90-5700k/","Ссылка")</f>
        <v>Ссылка</v>
      </c>
      <c r="AD291" s="170" t="s">
        <v>2859</v>
      </c>
    </row>
    <row r="292" spans="1:30" s="161" customFormat="1" ht="39.950000000000003" hidden="1" customHeight="1" outlineLevel="1" x14ac:dyDescent="0.25">
      <c r="A292" s="21"/>
      <c r="B292" s="21" t="s">
        <v>1320</v>
      </c>
      <c r="C292" s="159" t="s">
        <v>1339</v>
      </c>
      <c r="D292" s="161">
        <v>14000</v>
      </c>
      <c r="E292" s="161">
        <v>102</v>
      </c>
      <c r="F292" s="161">
        <v>137</v>
      </c>
      <c r="G292" s="161" t="s">
        <v>1340</v>
      </c>
      <c r="H292" s="161" t="s">
        <v>180</v>
      </c>
      <c r="I292" s="161">
        <v>67</v>
      </c>
      <c r="J292" s="161" t="s">
        <v>105</v>
      </c>
      <c r="K292" s="21" t="s">
        <v>106</v>
      </c>
      <c r="L292" s="161" t="s">
        <v>3380</v>
      </c>
      <c r="M292" s="21" t="s">
        <v>1332</v>
      </c>
      <c r="N292" s="161" t="s">
        <v>67</v>
      </c>
      <c r="O292" s="21" t="s">
        <v>68</v>
      </c>
      <c r="P292" s="161" t="s">
        <v>109</v>
      </c>
      <c r="Q292" s="21" t="s">
        <v>1323</v>
      </c>
      <c r="R292" s="161" t="s">
        <v>1324</v>
      </c>
      <c r="S292" s="161" t="s">
        <v>1325</v>
      </c>
      <c r="T292" s="161" t="s">
        <v>174</v>
      </c>
      <c r="U292" s="161" t="s">
        <v>73</v>
      </c>
      <c r="V292" s="21" t="s">
        <v>74</v>
      </c>
      <c r="W292" s="21" t="s">
        <v>257</v>
      </c>
      <c r="X292" s="161" t="s">
        <v>240</v>
      </c>
      <c r="Y292" s="161">
        <v>0.01</v>
      </c>
      <c r="Z292" s="161">
        <v>2.9</v>
      </c>
      <c r="AA292" s="161" t="s">
        <v>77</v>
      </c>
      <c r="AB292" s="161" t="s">
        <v>114</v>
      </c>
      <c r="AC292" s="266" t="str">
        <f>HYPERLINK("https://gcsvt.ru/svetodiodnyie-svetilniki/svt-str-mpro-102w-35-cri90-5700k/","Ссылка")</f>
        <v>Ссылка</v>
      </c>
      <c r="AD292" s="170" t="s">
        <v>2859</v>
      </c>
    </row>
    <row r="293" spans="1:30" s="161" customFormat="1" ht="39.950000000000003" hidden="1" customHeight="1" outlineLevel="1" x14ac:dyDescent="0.25">
      <c r="A293" s="21"/>
      <c r="B293" s="21" t="s">
        <v>1320</v>
      </c>
      <c r="C293" s="159" t="s">
        <v>1341</v>
      </c>
      <c r="D293" s="161">
        <v>14000</v>
      </c>
      <c r="E293" s="161">
        <v>102</v>
      </c>
      <c r="F293" s="161">
        <v>137</v>
      </c>
      <c r="G293" s="161" t="s">
        <v>1342</v>
      </c>
      <c r="H293" s="161" t="s">
        <v>183</v>
      </c>
      <c r="I293" s="161">
        <v>67</v>
      </c>
      <c r="J293" s="161" t="s">
        <v>105</v>
      </c>
      <c r="K293" s="21" t="s">
        <v>106</v>
      </c>
      <c r="L293" s="161" t="s">
        <v>3380</v>
      </c>
      <c r="M293" s="21" t="s">
        <v>1332</v>
      </c>
      <c r="N293" s="161" t="s">
        <v>67</v>
      </c>
      <c r="O293" s="21" t="s">
        <v>68</v>
      </c>
      <c r="P293" s="161" t="s">
        <v>109</v>
      </c>
      <c r="Q293" s="21" t="s">
        <v>1323</v>
      </c>
      <c r="R293" s="161" t="s">
        <v>1324</v>
      </c>
      <c r="S293" s="161" t="s">
        <v>1325</v>
      </c>
      <c r="T293" s="161" t="s">
        <v>174</v>
      </c>
      <c r="U293" s="161" t="s">
        <v>73</v>
      </c>
      <c r="V293" s="21" t="s">
        <v>74</v>
      </c>
      <c r="W293" s="21" t="s">
        <v>257</v>
      </c>
      <c r="X293" s="161" t="s">
        <v>240</v>
      </c>
      <c r="Y293" s="161">
        <v>0.01</v>
      </c>
      <c r="Z293" s="161">
        <v>2.9</v>
      </c>
      <c r="AA293" s="161" t="s">
        <v>77</v>
      </c>
      <c r="AB293" s="161" t="s">
        <v>114</v>
      </c>
      <c r="AC293" s="266" t="str">
        <f>HYPERLINK("https://gcsvt.ru/svetodiodnyie-svetilniki/svt-str-mpro-102w-65-cri90-5700k/","Ссылка")</f>
        <v>Ссылка</v>
      </c>
      <c r="AD293" s="170" t="s">
        <v>2859</v>
      </c>
    </row>
    <row r="294" spans="1:30" s="161" customFormat="1" ht="39.950000000000003" hidden="1" customHeight="1" outlineLevel="1" x14ac:dyDescent="0.25">
      <c r="A294" s="21"/>
      <c r="B294" s="21" t="s">
        <v>1320</v>
      </c>
      <c r="C294" s="159" t="s">
        <v>1343</v>
      </c>
      <c r="D294" s="161">
        <v>21000</v>
      </c>
      <c r="E294" s="161">
        <v>158</v>
      </c>
      <c r="F294" s="161">
        <v>132</v>
      </c>
      <c r="G294" s="161" t="s">
        <v>1344</v>
      </c>
      <c r="H294" s="161" t="s">
        <v>177</v>
      </c>
      <c r="I294" s="161">
        <v>67</v>
      </c>
      <c r="J294" s="161" t="s">
        <v>105</v>
      </c>
      <c r="K294" s="21" t="s">
        <v>106</v>
      </c>
      <c r="L294" s="161" t="s">
        <v>3380</v>
      </c>
      <c r="M294" s="21" t="s">
        <v>1332</v>
      </c>
      <c r="N294" s="161" t="s">
        <v>67</v>
      </c>
      <c r="O294" s="21" t="s">
        <v>68</v>
      </c>
      <c r="P294" s="161" t="s">
        <v>109</v>
      </c>
      <c r="Q294" s="21" t="s">
        <v>1323</v>
      </c>
      <c r="R294" s="161" t="s">
        <v>1324</v>
      </c>
      <c r="S294" s="161" t="s">
        <v>1325</v>
      </c>
      <c r="T294" s="161" t="s">
        <v>174</v>
      </c>
      <c r="U294" s="161" t="s">
        <v>73</v>
      </c>
      <c r="V294" s="21" t="s">
        <v>74</v>
      </c>
      <c r="W294" s="21" t="s">
        <v>257</v>
      </c>
      <c r="X294" s="161" t="s">
        <v>285</v>
      </c>
      <c r="Y294" s="161">
        <v>0.02</v>
      </c>
      <c r="Z294" s="161">
        <v>6.5</v>
      </c>
      <c r="AA294" s="161" t="s">
        <v>77</v>
      </c>
      <c r="AB294" s="161" t="s">
        <v>114</v>
      </c>
      <c r="AC294" s="266" t="str">
        <f>HYPERLINK("https://gcsvt.ru/svetodiodnyie-svetilniki/svt-str-mpro-79w-20-cri90-5700k-duo/","Ссылка")</f>
        <v>Ссылка</v>
      </c>
      <c r="AD294" s="170" t="s">
        <v>2859</v>
      </c>
    </row>
    <row r="295" spans="1:30" s="161" customFormat="1" ht="39.950000000000003" hidden="1" customHeight="1" outlineLevel="1" x14ac:dyDescent="0.25">
      <c r="A295" s="21"/>
      <c r="B295" s="21" t="s">
        <v>1320</v>
      </c>
      <c r="C295" s="159" t="s">
        <v>1345</v>
      </c>
      <c r="D295" s="161">
        <v>21000</v>
      </c>
      <c r="E295" s="161">
        <v>158</v>
      </c>
      <c r="F295" s="161">
        <v>132</v>
      </c>
      <c r="G295" s="161" t="s">
        <v>1346</v>
      </c>
      <c r="H295" s="161" t="s">
        <v>180</v>
      </c>
      <c r="I295" s="161">
        <v>67</v>
      </c>
      <c r="J295" s="161" t="s">
        <v>105</v>
      </c>
      <c r="K295" s="21" t="s">
        <v>106</v>
      </c>
      <c r="L295" s="161" t="s">
        <v>3380</v>
      </c>
      <c r="M295" s="21" t="s">
        <v>1332</v>
      </c>
      <c r="N295" s="161" t="s">
        <v>67</v>
      </c>
      <c r="O295" s="21" t="s">
        <v>68</v>
      </c>
      <c r="P295" s="161" t="s">
        <v>109</v>
      </c>
      <c r="Q295" s="21" t="s">
        <v>1323</v>
      </c>
      <c r="R295" s="161" t="s">
        <v>1324</v>
      </c>
      <c r="S295" s="161" t="s">
        <v>1325</v>
      </c>
      <c r="T295" s="161" t="s">
        <v>174</v>
      </c>
      <c r="U295" s="161" t="s">
        <v>73</v>
      </c>
      <c r="V295" s="21" t="s">
        <v>74</v>
      </c>
      <c r="W295" s="21" t="s">
        <v>257</v>
      </c>
      <c r="X295" s="161" t="s">
        <v>285</v>
      </c>
      <c r="Y295" s="161">
        <v>0.02</v>
      </c>
      <c r="Z295" s="161">
        <v>6.5</v>
      </c>
      <c r="AA295" s="161" t="s">
        <v>77</v>
      </c>
      <c r="AB295" s="161" t="s">
        <v>114</v>
      </c>
      <c r="AC295" s="266" t="str">
        <f>HYPERLINK("https://gcsvt.ru/svetodiodnyie-svetilniki/svt-str-mpro-79w-35-cri90-5700k-duo/","Ссылка")</f>
        <v>Ссылка</v>
      </c>
      <c r="AD295" s="170" t="s">
        <v>2859</v>
      </c>
    </row>
    <row r="296" spans="1:30" s="161" customFormat="1" ht="39.950000000000003" hidden="1" customHeight="1" outlineLevel="1" x14ac:dyDescent="0.25">
      <c r="A296" s="21"/>
      <c r="B296" s="21" t="s">
        <v>1320</v>
      </c>
      <c r="C296" s="159" t="s">
        <v>1347</v>
      </c>
      <c r="D296" s="161">
        <v>21000</v>
      </c>
      <c r="E296" s="161">
        <v>158</v>
      </c>
      <c r="F296" s="161">
        <v>132</v>
      </c>
      <c r="G296" s="161" t="s">
        <v>1348</v>
      </c>
      <c r="H296" s="161" t="s">
        <v>183</v>
      </c>
      <c r="I296" s="161">
        <v>67</v>
      </c>
      <c r="J296" s="161" t="s">
        <v>105</v>
      </c>
      <c r="K296" s="21" t="s">
        <v>106</v>
      </c>
      <c r="L296" s="161" t="s">
        <v>3380</v>
      </c>
      <c r="M296" s="21" t="s">
        <v>1332</v>
      </c>
      <c r="N296" s="161" t="s">
        <v>67</v>
      </c>
      <c r="O296" s="21" t="s">
        <v>68</v>
      </c>
      <c r="P296" s="161" t="s">
        <v>109</v>
      </c>
      <c r="Q296" s="21" t="s">
        <v>1323</v>
      </c>
      <c r="R296" s="161" t="s">
        <v>1324</v>
      </c>
      <c r="S296" s="161" t="s">
        <v>1325</v>
      </c>
      <c r="T296" s="161" t="s">
        <v>174</v>
      </c>
      <c r="U296" s="161" t="s">
        <v>73</v>
      </c>
      <c r="V296" s="21" t="s">
        <v>74</v>
      </c>
      <c r="W296" s="21" t="s">
        <v>257</v>
      </c>
      <c r="X296" s="161" t="s">
        <v>285</v>
      </c>
      <c r="Y296" s="161">
        <v>0.02</v>
      </c>
      <c r="Z296" s="161">
        <v>6.5</v>
      </c>
      <c r="AA296" s="161" t="s">
        <v>77</v>
      </c>
      <c r="AB296" s="161" t="s">
        <v>114</v>
      </c>
      <c r="AC296" s="266" t="str">
        <f>HYPERLINK("https://gcsvt.ru/svetodiodnyie-svetilniki/svt-str-mpro-79w-65-cri90-5700k-duo/","Ссылка")</f>
        <v>Ссылка</v>
      </c>
      <c r="AD296" s="170" t="s">
        <v>2859</v>
      </c>
    </row>
    <row r="297" spans="1:30" s="161" customFormat="1" ht="39.950000000000003" hidden="1" customHeight="1" outlineLevel="1" x14ac:dyDescent="0.25">
      <c r="A297" s="21"/>
      <c r="B297" s="21" t="s">
        <v>1320</v>
      </c>
      <c r="C297" s="159" t="s">
        <v>1349</v>
      </c>
      <c r="D297" s="161">
        <v>31500</v>
      </c>
      <c r="E297" s="161">
        <v>237</v>
      </c>
      <c r="F297" s="161">
        <v>132</v>
      </c>
      <c r="G297" s="161" t="s">
        <v>1350</v>
      </c>
      <c r="H297" s="161" t="s">
        <v>177</v>
      </c>
      <c r="I297" s="161">
        <v>67</v>
      </c>
      <c r="J297" s="161" t="s">
        <v>105</v>
      </c>
      <c r="K297" s="21" t="s">
        <v>106</v>
      </c>
      <c r="L297" s="161" t="s">
        <v>3380</v>
      </c>
      <c r="M297" s="21" t="s">
        <v>1332</v>
      </c>
      <c r="N297" s="161" t="s">
        <v>67</v>
      </c>
      <c r="O297" s="21" t="s">
        <v>68</v>
      </c>
      <c r="P297" s="161" t="s">
        <v>109</v>
      </c>
      <c r="Q297" s="21" t="s">
        <v>1323</v>
      </c>
      <c r="R297" s="161" t="s">
        <v>1324</v>
      </c>
      <c r="S297" s="161" t="s">
        <v>1325</v>
      </c>
      <c r="T297" s="161" t="s">
        <v>174</v>
      </c>
      <c r="U297" s="161" t="s">
        <v>73</v>
      </c>
      <c r="V297" s="21" t="s">
        <v>74</v>
      </c>
      <c r="W297" s="21" t="s">
        <v>257</v>
      </c>
      <c r="X297" s="161" t="s">
        <v>323</v>
      </c>
      <c r="Y297" s="161">
        <v>0.03</v>
      </c>
      <c r="Z297" s="161">
        <v>9</v>
      </c>
      <c r="AA297" s="161" t="s">
        <v>77</v>
      </c>
      <c r="AB297" s="161" t="s">
        <v>114</v>
      </c>
      <c r="AC297" s="266" t="str">
        <f>HYPERLINK("https://gcsvt.ru/svetodiodnyie-svetilniki/svt-str-mpro-79w-20-cri90-5700k-trio/","Ссылка")</f>
        <v>Ссылка</v>
      </c>
      <c r="AD297" s="170" t="s">
        <v>2859</v>
      </c>
    </row>
    <row r="298" spans="1:30" s="161" customFormat="1" ht="39.950000000000003" hidden="1" customHeight="1" outlineLevel="1" x14ac:dyDescent="0.25">
      <c r="A298" s="21"/>
      <c r="B298" s="21" t="s">
        <v>1320</v>
      </c>
      <c r="C298" s="159" t="s">
        <v>1351</v>
      </c>
      <c r="D298" s="161">
        <v>31500</v>
      </c>
      <c r="E298" s="161">
        <v>237</v>
      </c>
      <c r="F298" s="161">
        <v>132</v>
      </c>
      <c r="G298" s="161" t="s">
        <v>1352</v>
      </c>
      <c r="H298" s="161" t="s">
        <v>180</v>
      </c>
      <c r="I298" s="161">
        <v>67</v>
      </c>
      <c r="J298" s="161" t="s">
        <v>105</v>
      </c>
      <c r="K298" s="21" t="s">
        <v>106</v>
      </c>
      <c r="L298" s="161" t="s">
        <v>3380</v>
      </c>
      <c r="M298" s="21" t="s">
        <v>1332</v>
      </c>
      <c r="N298" s="161" t="s">
        <v>67</v>
      </c>
      <c r="O298" s="21" t="s">
        <v>68</v>
      </c>
      <c r="P298" s="161" t="s">
        <v>109</v>
      </c>
      <c r="Q298" s="21" t="s">
        <v>1323</v>
      </c>
      <c r="R298" s="161" t="s">
        <v>1324</v>
      </c>
      <c r="S298" s="161" t="s">
        <v>1325</v>
      </c>
      <c r="T298" s="161" t="s">
        <v>174</v>
      </c>
      <c r="U298" s="161" t="s">
        <v>73</v>
      </c>
      <c r="V298" s="21" t="s">
        <v>74</v>
      </c>
      <c r="W298" s="21" t="s">
        <v>257</v>
      </c>
      <c r="X298" s="161" t="s">
        <v>323</v>
      </c>
      <c r="Y298" s="161">
        <v>0.03</v>
      </c>
      <c r="Z298" s="161">
        <v>9</v>
      </c>
      <c r="AA298" s="161" t="s">
        <v>77</v>
      </c>
      <c r="AB298" s="161" t="s">
        <v>114</v>
      </c>
      <c r="AC298" s="266" t="str">
        <f>HYPERLINK("https://gcsvt.ru/svetodiodnyie-svetilniki/svt-str-mpro-79w-35-cri90-5700k-trio/","Ссылка")</f>
        <v>Ссылка</v>
      </c>
      <c r="AD298" s="170" t="s">
        <v>2859</v>
      </c>
    </row>
    <row r="299" spans="1:30" s="161" customFormat="1" ht="39.950000000000003" hidden="1" customHeight="1" outlineLevel="1" x14ac:dyDescent="0.25">
      <c r="A299" s="21"/>
      <c r="B299" s="21" t="s">
        <v>1320</v>
      </c>
      <c r="C299" s="159" t="s">
        <v>1353</v>
      </c>
      <c r="D299" s="161">
        <v>31500</v>
      </c>
      <c r="E299" s="161">
        <v>237</v>
      </c>
      <c r="F299" s="161">
        <v>132</v>
      </c>
      <c r="G299" s="161" t="s">
        <v>1354</v>
      </c>
      <c r="H299" s="161" t="s">
        <v>183</v>
      </c>
      <c r="I299" s="161">
        <v>67</v>
      </c>
      <c r="J299" s="161" t="s">
        <v>105</v>
      </c>
      <c r="K299" s="21" t="s">
        <v>106</v>
      </c>
      <c r="L299" s="161" t="s">
        <v>3380</v>
      </c>
      <c r="M299" s="21" t="s">
        <v>1332</v>
      </c>
      <c r="N299" s="161" t="s">
        <v>67</v>
      </c>
      <c r="O299" s="21" t="s">
        <v>68</v>
      </c>
      <c r="P299" s="161" t="s">
        <v>109</v>
      </c>
      <c r="Q299" s="21" t="s">
        <v>1323</v>
      </c>
      <c r="R299" s="161" t="s">
        <v>1324</v>
      </c>
      <c r="S299" s="161" t="s">
        <v>1325</v>
      </c>
      <c r="T299" s="161" t="s">
        <v>174</v>
      </c>
      <c r="U299" s="161" t="s">
        <v>73</v>
      </c>
      <c r="V299" s="21" t="s">
        <v>74</v>
      </c>
      <c r="W299" s="21" t="s">
        <v>257</v>
      </c>
      <c r="X299" s="161" t="s">
        <v>323</v>
      </c>
      <c r="Y299" s="161">
        <v>0.03</v>
      </c>
      <c r="Z299" s="161">
        <v>9</v>
      </c>
      <c r="AA299" s="161" t="s">
        <v>77</v>
      </c>
      <c r="AB299" s="161" t="s">
        <v>114</v>
      </c>
      <c r="AC299" s="266" t="str">
        <f>HYPERLINK("https://gcsvt.ru/svetodiodnyie-svetilniki/svt-str-mpro-79w-65-cri90-5700k-trio/","Ссылка")</f>
        <v>Ссылка</v>
      </c>
      <c r="AD299" s="170" t="s">
        <v>2859</v>
      </c>
    </row>
    <row r="300" spans="1:30" s="161" customFormat="1" ht="39.950000000000003" hidden="1" customHeight="1" outlineLevel="1" x14ac:dyDescent="0.25">
      <c r="A300" s="21"/>
      <c r="B300" s="21" t="s">
        <v>1320</v>
      </c>
      <c r="C300" s="159" t="s">
        <v>1355</v>
      </c>
      <c r="D300" s="161">
        <v>28000</v>
      </c>
      <c r="E300" s="161">
        <v>204</v>
      </c>
      <c r="F300" s="161">
        <v>137</v>
      </c>
      <c r="G300" s="161" t="s">
        <v>1356</v>
      </c>
      <c r="H300" s="161" t="s">
        <v>177</v>
      </c>
      <c r="I300" s="161">
        <v>67</v>
      </c>
      <c r="J300" s="161" t="s">
        <v>105</v>
      </c>
      <c r="K300" s="21" t="s">
        <v>106</v>
      </c>
      <c r="L300" s="161" t="s">
        <v>3380</v>
      </c>
      <c r="M300" s="21" t="s">
        <v>1332</v>
      </c>
      <c r="N300" s="161" t="s">
        <v>67</v>
      </c>
      <c r="O300" s="21" t="s">
        <v>68</v>
      </c>
      <c r="P300" s="161" t="s">
        <v>109</v>
      </c>
      <c r="Q300" s="21" t="s">
        <v>1323</v>
      </c>
      <c r="R300" s="161" t="s">
        <v>1324</v>
      </c>
      <c r="S300" s="161" t="s">
        <v>1325</v>
      </c>
      <c r="T300" s="161" t="s">
        <v>174</v>
      </c>
      <c r="U300" s="161" t="s">
        <v>73</v>
      </c>
      <c r="V300" s="21" t="s">
        <v>74</v>
      </c>
      <c r="W300" s="21" t="s">
        <v>257</v>
      </c>
      <c r="X300" s="161" t="s">
        <v>304</v>
      </c>
      <c r="Y300" s="161">
        <v>0.02</v>
      </c>
      <c r="Z300" s="161">
        <v>8</v>
      </c>
      <c r="AA300" s="161" t="s">
        <v>77</v>
      </c>
      <c r="AB300" s="161" t="s">
        <v>114</v>
      </c>
      <c r="AC300" s="266" t="str">
        <f>HYPERLINK("https://gcsvt.ru/svetodiodnyie-svetilniki/svt-str-mpro-102w-20-cri90-5700k-duo/","Ссылка")</f>
        <v>Ссылка</v>
      </c>
      <c r="AD300" s="170" t="s">
        <v>2859</v>
      </c>
    </row>
    <row r="301" spans="1:30" s="161" customFormat="1" ht="39.950000000000003" hidden="1" customHeight="1" outlineLevel="1" x14ac:dyDescent="0.25">
      <c r="A301" s="21"/>
      <c r="B301" s="21" t="s">
        <v>1320</v>
      </c>
      <c r="C301" s="159" t="s">
        <v>1357</v>
      </c>
      <c r="D301" s="161">
        <v>28000</v>
      </c>
      <c r="E301" s="161">
        <v>204</v>
      </c>
      <c r="F301" s="161">
        <v>137</v>
      </c>
      <c r="G301" s="161" t="s">
        <v>1358</v>
      </c>
      <c r="H301" s="161" t="s">
        <v>180</v>
      </c>
      <c r="I301" s="161">
        <v>67</v>
      </c>
      <c r="J301" s="161" t="s">
        <v>105</v>
      </c>
      <c r="K301" s="21" t="s">
        <v>106</v>
      </c>
      <c r="L301" s="161" t="s">
        <v>3380</v>
      </c>
      <c r="M301" s="21" t="s">
        <v>1332</v>
      </c>
      <c r="N301" s="161" t="s">
        <v>67</v>
      </c>
      <c r="O301" s="21" t="s">
        <v>68</v>
      </c>
      <c r="P301" s="161" t="s">
        <v>109</v>
      </c>
      <c r="Q301" s="21" t="s">
        <v>1323</v>
      </c>
      <c r="R301" s="161" t="s">
        <v>1324</v>
      </c>
      <c r="S301" s="161" t="s">
        <v>1325</v>
      </c>
      <c r="T301" s="161" t="s">
        <v>174</v>
      </c>
      <c r="U301" s="161" t="s">
        <v>73</v>
      </c>
      <c r="V301" s="21" t="s">
        <v>74</v>
      </c>
      <c r="W301" s="21" t="s">
        <v>257</v>
      </c>
      <c r="X301" s="161" t="s">
        <v>304</v>
      </c>
      <c r="Y301" s="161">
        <v>0.02</v>
      </c>
      <c r="Z301" s="161">
        <v>8</v>
      </c>
      <c r="AA301" s="161" t="s">
        <v>77</v>
      </c>
      <c r="AB301" s="161" t="s">
        <v>114</v>
      </c>
      <c r="AC301" s="266" t="str">
        <f>HYPERLINK("https://gcsvt.ru/svetodiodnyie-svetilniki/svt-str-mpro-102w-35-cri90-5700k-duo/","Ссылка")</f>
        <v>Ссылка</v>
      </c>
      <c r="AD301" s="170" t="s">
        <v>2859</v>
      </c>
    </row>
    <row r="302" spans="1:30" s="161" customFormat="1" ht="39.950000000000003" hidden="1" customHeight="1" outlineLevel="1" x14ac:dyDescent="0.25">
      <c r="A302" s="21"/>
      <c r="B302" s="21" t="s">
        <v>1320</v>
      </c>
      <c r="C302" s="159" t="s">
        <v>1359</v>
      </c>
      <c r="D302" s="161">
        <v>28000</v>
      </c>
      <c r="E302" s="161">
        <v>204</v>
      </c>
      <c r="F302" s="161">
        <v>137</v>
      </c>
      <c r="G302" s="161" t="s">
        <v>1360</v>
      </c>
      <c r="H302" s="161" t="s">
        <v>183</v>
      </c>
      <c r="I302" s="161">
        <v>67</v>
      </c>
      <c r="J302" s="161" t="s">
        <v>105</v>
      </c>
      <c r="K302" s="21" t="s">
        <v>106</v>
      </c>
      <c r="L302" s="161" t="s">
        <v>3380</v>
      </c>
      <c r="M302" s="21" t="s">
        <v>1332</v>
      </c>
      <c r="N302" s="161" t="s">
        <v>67</v>
      </c>
      <c r="O302" s="21" t="s">
        <v>68</v>
      </c>
      <c r="P302" s="161" t="s">
        <v>109</v>
      </c>
      <c r="Q302" s="21" t="s">
        <v>1323</v>
      </c>
      <c r="R302" s="161" t="s">
        <v>1324</v>
      </c>
      <c r="S302" s="161" t="s">
        <v>1325</v>
      </c>
      <c r="T302" s="161" t="s">
        <v>174</v>
      </c>
      <c r="U302" s="161" t="s">
        <v>73</v>
      </c>
      <c r="V302" s="21" t="s">
        <v>74</v>
      </c>
      <c r="W302" s="21" t="s">
        <v>257</v>
      </c>
      <c r="X302" s="161" t="s">
        <v>304</v>
      </c>
      <c r="Y302" s="161">
        <v>0.02</v>
      </c>
      <c r="Z302" s="161">
        <v>8</v>
      </c>
      <c r="AA302" s="161" t="s">
        <v>77</v>
      </c>
      <c r="AB302" s="161" t="s">
        <v>114</v>
      </c>
      <c r="AC302" s="266" t="str">
        <f>HYPERLINK("https://gcsvt.ru/svetodiodnyie-svetilniki/svt-str-mpro-102w-65-cri90-5700k-duo/","Ссылка")</f>
        <v>Ссылка</v>
      </c>
      <c r="AD302" s="170" t="s">
        <v>2859</v>
      </c>
    </row>
    <row r="303" spans="1:30" s="161" customFormat="1" ht="39.950000000000003" hidden="1" customHeight="1" outlineLevel="1" x14ac:dyDescent="0.25">
      <c r="A303" s="21"/>
      <c r="B303" s="21" t="s">
        <v>1320</v>
      </c>
      <c r="C303" s="159" t="s">
        <v>1361</v>
      </c>
      <c r="D303" s="161">
        <v>42000</v>
      </c>
      <c r="E303" s="161">
        <v>306</v>
      </c>
      <c r="F303" s="161">
        <v>137</v>
      </c>
      <c r="G303" s="161" t="s">
        <v>1362</v>
      </c>
      <c r="H303" s="161" t="s">
        <v>177</v>
      </c>
      <c r="I303" s="161">
        <v>67</v>
      </c>
      <c r="J303" s="161" t="s">
        <v>105</v>
      </c>
      <c r="K303" s="21" t="s">
        <v>106</v>
      </c>
      <c r="L303" s="161" t="s">
        <v>3380</v>
      </c>
      <c r="M303" s="21" t="s">
        <v>1332</v>
      </c>
      <c r="N303" s="161" t="s">
        <v>67</v>
      </c>
      <c r="O303" s="21" t="s">
        <v>68</v>
      </c>
      <c r="P303" s="161" t="s">
        <v>109</v>
      </c>
      <c r="Q303" s="21" t="s">
        <v>1323</v>
      </c>
      <c r="R303" s="161" t="s">
        <v>1324</v>
      </c>
      <c r="S303" s="161" t="s">
        <v>1325</v>
      </c>
      <c r="T303" s="161" t="s">
        <v>174</v>
      </c>
      <c r="U303" s="161" t="s">
        <v>73</v>
      </c>
      <c r="V303" s="21" t="s">
        <v>74</v>
      </c>
      <c r="W303" s="21" t="s">
        <v>257</v>
      </c>
      <c r="X303" s="161" t="s">
        <v>342</v>
      </c>
      <c r="Y303" s="161">
        <v>0.03</v>
      </c>
      <c r="Z303" s="161">
        <v>11.5</v>
      </c>
      <c r="AA303" s="161" t="s">
        <v>77</v>
      </c>
      <c r="AB303" s="161" t="s">
        <v>114</v>
      </c>
      <c r="AC303" s="266" t="str">
        <f>HYPERLINK("https://gcsvt.ru/svetodiodnyie-svetilniki/svt-str-mpro-102w-20-cri90-5700k-trio/","Ссылка")</f>
        <v>Ссылка</v>
      </c>
      <c r="AD303" s="170" t="s">
        <v>2859</v>
      </c>
    </row>
    <row r="304" spans="1:30" s="161" customFormat="1" ht="39.950000000000003" hidden="1" customHeight="1" outlineLevel="1" x14ac:dyDescent="0.25">
      <c r="A304" s="21"/>
      <c r="B304" s="21" t="s">
        <v>1320</v>
      </c>
      <c r="C304" s="159" t="s">
        <v>1363</v>
      </c>
      <c r="D304" s="161">
        <v>42000</v>
      </c>
      <c r="E304" s="161">
        <v>306</v>
      </c>
      <c r="F304" s="161">
        <v>137</v>
      </c>
      <c r="G304" s="161" t="s">
        <v>1364</v>
      </c>
      <c r="H304" s="161" t="s">
        <v>180</v>
      </c>
      <c r="I304" s="161">
        <v>67</v>
      </c>
      <c r="J304" s="161" t="s">
        <v>105</v>
      </c>
      <c r="K304" s="21" t="s">
        <v>106</v>
      </c>
      <c r="L304" s="161" t="s">
        <v>3380</v>
      </c>
      <c r="M304" s="21" t="s">
        <v>1332</v>
      </c>
      <c r="N304" s="161" t="s">
        <v>67</v>
      </c>
      <c r="O304" s="21" t="s">
        <v>68</v>
      </c>
      <c r="P304" s="161" t="s">
        <v>109</v>
      </c>
      <c r="Q304" s="21" t="s">
        <v>1323</v>
      </c>
      <c r="R304" s="161" t="s">
        <v>1324</v>
      </c>
      <c r="S304" s="161" t="s">
        <v>1325</v>
      </c>
      <c r="T304" s="161" t="s">
        <v>174</v>
      </c>
      <c r="U304" s="161" t="s">
        <v>73</v>
      </c>
      <c r="V304" s="21" t="s">
        <v>74</v>
      </c>
      <c r="W304" s="21" t="s">
        <v>257</v>
      </c>
      <c r="X304" s="161" t="s">
        <v>342</v>
      </c>
      <c r="Y304" s="161">
        <v>0.03</v>
      </c>
      <c r="Z304" s="161">
        <v>11.5</v>
      </c>
      <c r="AA304" s="161" t="s">
        <v>77</v>
      </c>
      <c r="AB304" s="161" t="s">
        <v>114</v>
      </c>
      <c r="AC304" s="266" t="str">
        <f>HYPERLINK("https://gcsvt.ru/svetodiodnyie-svetilniki/svt-str-mpro-102w-35-cri90-5700k-trio/","Ссылка")</f>
        <v>Ссылка</v>
      </c>
      <c r="AD304" s="170" t="s">
        <v>2859</v>
      </c>
    </row>
    <row r="305" spans="1:30" s="161" customFormat="1" ht="39.950000000000003" hidden="1" customHeight="1" outlineLevel="1" x14ac:dyDescent="0.25">
      <c r="A305" s="21"/>
      <c r="B305" s="21" t="s">
        <v>1320</v>
      </c>
      <c r="C305" s="159" t="s">
        <v>1365</v>
      </c>
      <c r="D305" s="161">
        <v>42000</v>
      </c>
      <c r="E305" s="161">
        <v>306</v>
      </c>
      <c r="F305" s="161">
        <v>137</v>
      </c>
      <c r="G305" s="161" t="s">
        <v>1366</v>
      </c>
      <c r="H305" s="161" t="s">
        <v>183</v>
      </c>
      <c r="I305" s="161">
        <v>67</v>
      </c>
      <c r="J305" s="161" t="s">
        <v>105</v>
      </c>
      <c r="K305" s="21" t="s">
        <v>106</v>
      </c>
      <c r="L305" s="161" t="s">
        <v>3380</v>
      </c>
      <c r="M305" s="21" t="s">
        <v>1332</v>
      </c>
      <c r="N305" s="161" t="s">
        <v>67</v>
      </c>
      <c r="O305" s="21" t="s">
        <v>68</v>
      </c>
      <c r="P305" s="161" t="s">
        <v>109</v>
      </c>
      <c r="Q305" s="21" t="s">
        <v>1323</v>
      </c>
      <c r="R305" s="161" t="s">
        <v>1324</v>
      </c>
      <c r="S305" s="161" t="s">
        <v>1325</v>
      </c>
      <c r="T305" s="161" t="s">
        <v>174</v>
      </c>
      <c r="U305" s="161" t="s">
        <v>73</v>
      </c>
      <c r="V305" s="21" t="s">
        <v>74</v>
      </c>
      <c r="W305" s="21" t="s">
        <v>257</v>
      </c>
      <c r="X305" s="161" t="s">
        <v>342</v>
      </c>
      <c r="Y305" s="161">
        <v>0.03</v>
      </c>
      <c r="Z305" s="161">
        <v>11.5</v>
      </c>
      <c r="AA305" s="161" t="s">
        <v>77</v>
      </c>
      <c r="AB305" s="161" t="s">
        <v>114</v>
      </c>
      <c r="AC305" s="266" t="str">
        <f>HYPERLINK("https://gcsvt.ru/svetodiodnyie-svetilniki/svt-str-mpro-102w-65-cri90-5700k-trio/","Ссылка")</f>
        <v>Ссылка</v>
      </c>
      <c r="AD305" s="170" t="s">
        <v>2859</v>
      </c>
    </row>
    <row r="306" spans="1:30" s="161" customFormat="1" ht="39.950000000000003" hidden="1" customHeight="1" outlineLevel="1" x14ac:dyDescent="0.25">
      <c r="A306" s="21"/>
      <c r="B306" s="21" t="s">
        <v>1320</v>
      </c>
      <c r="C306" s="159" t="s">
        <v>1367</v>
      </c>
      <c r="D306" s="161">
        <v>56000</v>
      </c>
      <c r="E306" s="161">
        <v>408</v>
      </c>
      <c r="F306" s="161">
        <v>137</v>
      </c>
      <c r="G306" s="161" t="s">
        <v>1368</v>
      </c>
      <c r="H306" s="161" t="s">
        <v>177</v>
      </c>
      <c r="I306" s="161">
        <v>67</v>
      </c>
      <c r="J306" s="161" t="s">
        <v>105</v>
      </c>
      <c r="K306" s="21" t="s">
        <v>106</v>
      </c>
      <c r="L306" s="161" t="s">
        <v>3380</v>
      </c>
      <c r="M306" s="21" t="s">
        <v>1332</v>
      </c>
      <c r="N306" s="161" t="s">
        <v>67</v>
      </c>
      <c r="O306" s="21" t="s">
        <v>68</v>
      </c>
      <c r="P306" s="161" t="s">
        <v>109</v>
      </c>
      <c r="Q306" s="21" t="s">
        <v>1323</v>
      </c>
      <c r="R306" s="161" t="s">
        <v>1324</v>
      </c>
      <c r="S306" s="161" t="s">
        <v>1325</v>
      </c>
      <c r="T306" s="161" t="s">
        <v>174</v>
      </c>
      <c r="U306" s="161" t="s">
        <v>73</v>
      </c>
      <c r="V306" s="21" t="s">
        <v>74</v>
      </c>
      <c r="W306" s="21" t="s">
        <v>257</v>
      </c>
      <c r="X306" s="161" t="s">
        <v>373</v>
      </c>
      <c r="Y306" s="161">
        <v>0.04</v>
      </c>
      <c r="Z306" s="161">
        <v>15</v>
      </c>
      <c r="AA306" s="161" t="s">
        <v>77</v>
      </c>
      <c r="AB306" s="161" t="s">
        <v>114</v>
      </c>
      <c r="AC306" s="266" t="str">
        <f>HYPERLINK("https://gcsvt.ru/svetodiodnyie-svetilniki/svt-str-mpro-102w-20-cri90-5700k-quattro/","Ссылка")</f>
        <v>Ссылка</v>
      </c>
      <c r="AD306" s="170" t="s">
        <v>2859</v>
      </c>
    </row>
    <row r="307" spans="1:30" s="161" customFormat="1" ht="39.950000000000003" hidden="1" customHeight="1" outlineLevel="1" x14ac:dyDescent="0.25">
      <c r="A307" s="21"/>
      <c r="B307" s="21" t="s">
        <v>1320</v>
      </c>
      <c r="C307" s="159" t="s">
        <v>1369</v>
      </c>
      <c r="D307" s="161">
        <v>56000</v>
      </c>
      <c r="E307" s="161">
        <v>408</v>
      </c>
      <c r="F307" s="161">
        <v>137</v>
      </c>
      <c r="G307" s="161" t="s">
        <v>1370</v>
      </c>
      <c r="H307" s="161" t="s">
        <v>180</v>
      </c>
      <c r="I307" s="161">
        <v>67</v>
      </c>
      <c r="J307" s="161" t="s">
        <v>105</v>
      </c>
      <c r="K307" s="21" t="s">
        <v>106</v>
      </c>
      <c r="L307" s="161" t="s">
        <v>3380</v>
      </c>
      <c r="M307" s="21" t="s">
        <v>1332</v>
      </c>
      <c r="N307" s="161" t="s">
        <v>67</v>
      </c>
      <c r="O307" s="21" t="s">
        <v>68</v>
      </c>
      <c r="P307" s="161" t="s">
        <v>109</v>
      </c>
      <c r="Q307" s="21" t="s">
        <v>1323</v>
      </c>
      <c r="R307" s="161" t="s">
        <v>1324</v>
      </c>
      <c r="S307" s="161" t="s">
        <v>1325</v>
      </c>
      <c r="T307" s="161" t="s">
        <v>174</v>
      </c>
      <c r="U307" s="161" t="s">
        <v>73</v>
      </c>
      <c r="V307" s="21" t="s">
        <v>74</v>
      </c>
      <c r="W307" s="21" t="s">
        <v>257</v>
      </c>
      <c r="X307" s="161" t="s">
        <v>373</v>
      </c>
      <c r="Y307" s="161">
        <v>0.04</v>
      </c>
      <c r="Z307" s="161">
        <v>15</v>
      </c>
      <c r="AA307" s="161" t="s">
        <v>77</v>
      </c>
      <c r="AB307" s="161" t="s">
        <v>114</v>
      </c>
      <c r="AC307" s="266" t="str">
        <f>HYPERLINK("https://gcsvt.ru/svetodiodnyie-svetilniki/svt-str-mpro-102w-35-cri90-5700k-quattro/","Ссылка")</f>
        <v>Ссылка</v>
      </c>
      <c r="AD307" s="170" t="s">
        <v>2859</v>
      </c>
    </row>
    <row r="308" spans="1:30" s="161" customFormat="1" ht="39.950000000000003" hidden="1" customHeight="1" outlineLevel="1" x14ac:dyDescent="0.25">
      <c r="A308" s="21"/>
      <c r="B308" s="21" t="s">
        <v>1320</v>
      </c>
      <c r="C308" s="159" t="s">
        <v>1371</v>
      </c>
      <c r="D308" s="161">
        <v>56000</v>
      </c>
      <c r="E308" s="161">
        <v>408</v>
      </c>
      <c r="F308" s="161">
        <v>137</v>
      </c>
      <c r="G308" s="161" t="s">
        <v>1372</v>
      </c>
      <c r="H308" s="161" t="s">
        <v>183</v>
      </c>
      <c r="I308" s="161">
        <v>67</v>
      </c>
      <c r="J308" s="161" t="s">
        <v>105</v>
      </c>
      <c r="K308" s="21" t="s">
        <v>106</v>
      </c>
      <c r="L308" s="161" t="s">
        <v>3380</v>
      </c>
      <c r="M308" s="21" t="s">
        <v>1332</v>
      </c>
      <c r="N308" s="161" t="s">
        <v>67</v>
      </c>
      <c r="O308" s="21" t="s">
        <v>68</v>
      </c>
      <c r="P308" s="161" t="s">
        <v>109</v>
      </c>
      <c r="Q308" s="21" t="s">
        <v>1323</v>
      </c>
      <c r="R308" s="161" t="s">
        <v>1324</v>
      </c>
      <c r="S308" s="161" t="s">
        <v>1325</v>
      </c>
      <c r="T308" s="161" t="s">
        <v>174</v>
      </c>
      <c r="U308" s="161" t="s">
        <v>73</v>
      </c>
      <c r="V308" s="21" t="s">
        <v>74</v>
      </c>
      <c r="W308" s="21" t="s">
        <v>257</v>
      </c>
      <c r="X308" s="161" t="s">
        <v>373</v>
      </c>
      <c r="Y308" s="161">
        <v>0.04</v>
      </c>
      <c r="Z308" s="161">
        <v>15</v>
      </c>
      <c r="AA308" s="161" t="s">
        <v>77</v>
      </c>
      <c r="AB308" s="161" t="s">
        <v>114</v>
      </c>
      <c r="AC308" s="266" t="str">
        <f>HYPERLINK("https://gcsvt.ru/svetodiodnyie-svetilniki/svt-str-mpro-102w-65-cri90-5700k-quattro/","Ссылка")</f>
        <v>Ссылка</v>
      </c>
      <c r="AD308" s="170" t="s">
        <v>2859</v>
      </c>
    </row>
    <row r="309" spans="1:30" s="161" customFormat="1" ht="39.950000000000003" hidden="1" customHeight="1" outlineLevel="1" x14ac:dyDescent="0.25">
      <c r="A309" s="21"/>
      <c r="B309" s="21" t="s">
        <v>1320</v>
      </c>
      <c r="C309" s="159" t="s">
        <v>1373</v>
      </c>
      <c r="D309" s="161">
        <v>8000</v>
      </c>
      <c r="E309" s="161">
        <v>61</v>
      </c>
      <c r="F309" s="161">
        <v>131</v>
      </c>
      <c r="G309" s="161" t="s">
        <v>1374</v>
      </c>
      <c r="H309" s="161" t="s">
        <v>138</v>
      </c>
      <c r="I309" s="161">
        <v>67</v>
      </c>
      <c r="J309" s="161" t="s">
        <v>105</v>
      </c>
      <c r="K309" s="21" t="s">
        <v>106</v>
      </c>
      <c r="L309" s="161" t="s">
        <v>3380</v>
      </c>
      <c r="M309" s="21" t="s">
        <v>1375</v>
      </c>
      <c r="N309" s="161" t="s">
        <v>108</v>
      </c>
      <c r="O309" s="21" t="s">
        <v>68</v>
      </c>
      <c r="P309" s="161" t="s">
        <v>109</v>
      </c>
      <c r="Q309" s="21" t="s">
        <v>1323</v>
      </c>
      <c r="R309" s="161" t="s">
        <v>1324</v>
      </c>
      <c r="S309" s="161" t="s">
        <v>1325</v>
      </c>
      <c r="T309" s="161" t="s">
        <v>141</v>
      </c>
      <c r="U309" s="161" t="s">
        <v>73</v>
      </c>
      <c r="V309" s="21" t="s">
        <v>74</v>
      </c>
      <c r="W309" s="21" t="s">
        <v>75</v>
      </c>
      <c r="X309" s="161" t="s">
        <v>152</v>
      </c>
      <c r="Y309" s="161">
        <v>0.01</v>
      </c>
      <c r="Z309" s="161">
        <v>2</v>
      </c>
      <c r="AA309" s="161" t="s">
        <v>77</v>
      </c>
      <c r="AB309" s="161" t="s">
        <v>114</v>
      </c>
      <c r="AC309" s="266" t="str">
        <f>HYPERLINK("https://gcsvt.ru/svetodiodnyie-svetilniki/svt-str-mpro-61w-cri90-5700k/","Ссылка")</f>
        <v>Ссылка</v>
      </c>
      <c r="AD309" s="170" t="s">
        <v>2859</v>
      </c>
    </row>
    <row r="310" spans="1:30" s="161" customFormat="1" ht="39.950000000000003" hidden="1" customHeight="1" outlineLevel="1" x14ac:dyDescent="0.25">
      <c r="A310" s="21"/>
      <c r="B310" s="21" t="s">
        <v>1320</v>
      </c>
      <c r="C310" s="159" t="s">
        <v>1376</v>
      </c>
      <c r="D310" s="161">
        <v>16000</v>
      </c>
      <c r="E310" s="161">
        <v>122</v>
      </c>
      <c r="F310" s="161">
        <v>131</v>
      </c>
      <c r="G310" s="161" t="s">
        <v>1377</v>
      </c>
      <c r="H310" s="161" t="s">
        <v>138</v>
      </c>
      <c r="I310" s="161">
        <v>67</v>
      </c>
      <c r="J310" s="161" t="s">
        <v>105</v>
      </c>
      <c r="K310" s="21" t="s">
        <v>106</v>
      </c>
      <c r="L310" s="161" t="s">
        <v>3380</v>
      </c>
      <c r="M310" s="21" t="s">
        <v>1375</v>
      </c>
      <c r="N310" s="161" t="s">
        <v>108</v>
      </c>
      <c r="O310" s="21" t="s">
        <v>68</v>
      </c>
      <c r="P310" s="161" t="s">
        <v>109</v>
      </c>
      <c r="Q310" s="21" t="s">
        <v>1323</v>
      </c>
      <c r="R310" s="161" t="s">
        <v>1324</v>
      </c>
      <c r="S310" s="161" t="s">
        <v>1325</v>
      </c>
      <c r="T310" s="161" t="s">
        <v>141</v>
      </c>
      <c r="U310" s="161" t="s">
        <v>73</v>
      </c>
      <c r="V310" s="21" t="s">
        <v>74</v>
      </c>
      <c r="W310" s="21" t="s">
        <v>75</v>
      </c>
      <c r="X310" s="161" t="s">
        <v>258</v>
      </c>
      <c r="Y310" s="161">
        <v>0.01</v>
      </c>
      <c r="Z310" s="161">
        <v>5</v>
      </c>
      <c r="AA310" s="161" t="s">
        <v>77</v>
      </c>
      <c r="AB310" s="161" t="s">
        <v>114</v>
      </c>
      <c r="AC310" s="266" t="str">
        <f>HYPERLINK("https://gcsvt.ru/svetodiodnyie-svetilniki/svt-str-mpro-61w-cri90-5700k-duo/","Ссылка")</f>
        <v>Ссылка</v>
      </c>
      <c r="AD310" s="170" t="s">
        <v>2859</v>
      </c>
    </row>
    <row r="311" spans="1:30" s="161" customFormat="1" ht="39.950000000000003" hidden="1" customHeight="1" outlineLevel="1" x14ac:dyDescent="0.25">
      <c r="A311" s="21"/>
      <c r="B311" s="21" t="s">
        <v>1320</v>
      </c>
      <c r="C311" s="159" t="s">
        <v>1378</v>
      </c>
      <c r="D311" s="161">
        <v>24000</v>
      </c>
      <c r="E311" s="161">
        <v>183</v>
      </c>
      <c r="F311" s="161">
        <v>131</v>
      </c>
      <c r="G311" s="161" t="s">
        <v>1379</v>
      </c>
      <c r="H311" s="161" t="s">
        <v>138</v>
      </c>
      <c r="I311" s="161">
        <v>67</v>
      </c>
      <c r="J311" s="161" t="s">
        <v>105</v>
      </c>
      <c r="K311" s="21" t="s">
        <v>106</v>
      </c>
      <c r="L311" s="161" t="s">
        <v>3380</v>
      </c>
      <c r="M311" s="21" t="s">
        <v>1375</v>
      </c>
      <c r="N311" s="161" t="s">
        <v>108</v>
      </c>
      <c r="O311" s="21" t="s">
        <v>68</v>
      </c>
      <c r="P311" s="161" t="s">
        <v>109</v>
      </c>
      <c r="Q311" s="21" t="s">
        <v>1323</v>
      </c>
      <c r="R311" s="161" t="s">
        <v>1324</v>
      </c>
      <c r="S311" s="161" t="s">
        <v>1325</v>
      </c>
      <c r="T311" s="161" t="s">
        <v>141</v>
      </c>
      <c r="U311" s="161" t="s">
        <v>73</v>
      </c>
      <c r="V311" s="21" t="s">
        <v>74</v>
      </c>
      <c r="W311" s="21" t="s">
        <v>75</v>
      </c>
      <c r="X311" s="161" t="s">
        <v>262</v>
      </c>
      <c r="Y311" s="161">
        <v>0.02</v>
      </c>
      <c r="Z311" s="161">
        <v>7.5</v>
      </c>
      <c r="AA311" s="161" t="s">
        <v>77</v>
      </c>
      <c r="AB311" s="161" t="s">
        <v>114</v>
      </c>
      <c r="AC311" s="266" t="str">
        <f>HYPERLINK("https://gcsvt.ru/svetodiodnyie-svetilniki/svt-str-mpro-61w-cri90-5700k-trio/","Ссылка")</f>
        <v>Ссылка</v>
      </c>
      <c r="AD311" s="170" t="s">
        <v>2859</v>
      </c>
    </row>
    <row r="312" spans="1:30" s="161" customFormat="1" ht="39.950000000000003" hidden="1" customHeight="1" outlineLevel="1" x14ac:dyDescent="0.25">
      <c r="A312" s="21"/>
      <c r="B312" s="21" t="s">
        <v>1320</v>
      </c>
      <c r="C312" s="159" t="s">
        <v>1380</v>
      </c>
      <c r="D312" s="161">
        <v>12500</v>
      </c>
      <c r="E312" s="161">
        <v>96</v>
      </c>
      <c r="F312" s="161">
        <v>130</v>
      </c>
      <c r="G312" s="161" t="s">
        <v>1381</v>
      </c>
      <c r="H312" s="161" t="s">
        <v>138</v>
      </c>
      <c r="I312" s="161">
        <v>67</v>
      </c>
      <c r="J312" s="161" t="s">
        <v>105</v>
      </c>
      <c r="K312" s="21" t="s">
        <v>106</v>
      </c>
      <c r="L312" s="161" t="s">
        <v>3380</v>
      </c>
      <c r="M312" s="21" t="s">
        <v>1332</v>
      </c>
      <c r="N312" s="161" t="s">
        <v>67</v>
      </c>
      <c r="O312" s="21" t="s">
        <v>68</v>
      </c>
      <c r="P312" s="161" t="s">
        <v>109</v>
      </c>
      <c r="Q312" s="21" t="s">
        <v>1323</v>
      </c>
      <c r="R312" s="161" t="s">
        <v>1324</v>
      </c>
      <c r="S312" s="161" t="s">
        <v>1325</v>
      </c>
      <c r="T312" s="161" t="s">
        <v>141</v>
      </c>
      <c r="U312" s="161" t="s">
        <v>73</v>
      </c>
      <c r="V312" s="21" t="s">
        <v>74</v>
      </c>
      <c r="W312" s="21" t="s">
        <v>75</v>
      </c>
      <c r="X312" s="161" t="s">
        <v>156</v>
      </c>
      <c r="Y312" s="161">
        <v>0.01</v>
      </c>
      <c r="Z312" s="161">
        <v>2.8</v>
      </c>
      <c r="AA312" s="161" t="s">
        <v>77</v>
      </c>
      <c r="AB312" s="161" t="s">
        <v>114</v>
      </c>
      <c r="AC312" s="266" t="str">
        <f>HYPERLINK("https://gcsvt.ru/svetodiodnyie-svetilniki/svt-str-mpro-96w-cri90-5700k/","Ссылка")</f>
        <v>Ссылка</v>
      </c>
      <c r="AD312" s="170" t="s">
        <v>2859</v>
      </c>
    </row>
    <row r="313" spans="1:30" s="161" customFormat="1" ht="39.950000000000003" hidden="1" customHeight="1" outlineLevel="1" x14ac:dyDescent="0.25">
      <c r="A313" s="21"/>
      <c r="B313" s="21" t="s">
        <v>1320</v>
      </c>
      <c r="C313" s="159" t="s">
        <v>1382</v>
      </c>
      <c r="D313" s="161">
        <v>25000</v>
      </c>
      <c r="E313" s="161">
        <v>192</v>
      </c>
      <c r="F313" s="161">
        <v>130</v>
      </c>
      <c r="G313" s="161" t="s">
        <v>1383</v>
      </c>
      <c r="H313" s="161" t="s">
        <v>138</v>
      </c>
      <c r="I313" s="161">
        <v>67</v>
      </c>
      <c r="J313" s="161" t="s">
        <v>105</v>
      </c>
      <c r="K313" s="21" t="s">
        <v>106</v>
      </c>
      <c r="L313" s="161" t="s">
        <v>3380</v>
      </c>
      <c r="M313" s="21" t="s">
        <v>1332</v>
      </c>
      <c r="N313" s="161" t="s">
        <v>67</v>
      </c>
      <c r="O313" s="21" t="s">
        <v>68</v>
      </c>
      <c r="P313" s="161" t="s">
        <v>109</v>
      </c>
      <c r="Q313" s="21" t="s">
        <v>1323</v>
      </c>
      <c r="R313" s="161" t="s">
        <v>1324</v>
      </c>
      <c r="S313" s="161" t="s">
        <v>1325</v>
      </c>
      <c r="T313" s="161" t="s">
        <v>141</v>
      </c>
      <c r="U313" s="161" t="s">
        <v>73</v>
      </c>
      <c r="V313" s="21" t="s">
        <v>74</v>
      </c>
      <c r="W313" s="21" t="s">
        <v>257</v>
      </c>
      <c r="X313" s="161" t="s">
        <v>270</v>
      </c>
      <c r="Y313" s="161">
        <v>0.01</v>
      </c>
      <c r="Z313" s="161">
        <v>6.5</v>
      </c>
      <c r="AA313" s="161" t="s">
        <v>77</v>
      </c>
      <c r="AB313" s="161" t="s">
        <v>114</v>
      </c>
      <c r="AC313" s="266" t="str">
        <f>HYPERLINK("https://gcsvt.ru/svetodiodnyie-svetilniki/svt-str-mpro-96w-cri90-5700k-duo/","Ссылка")</f>
        <v>Ссылка</v>
      </c>
      <c r="AD313" s="170" t="s">
        <v>2859</v>
      </c>
    </row>
    <row r="314" spans="1:30" s="161" customFormat="1" ht="39.950000000000003" hidden="1" customHeight="1" outlineLevel="1" x14ac:dyDescent="0.25">
      <c r="A314" s="21"/>
      <c r="B314" s="21" t="s">
        <v>1320</v>
      </c>
      <c r="C314" s="159" t="s">
        <v>1384</v>
      </c>
      <c r="D314" s="161">
        <v>37500</v>
      </c>
      <c r="E314" s="161">
        <v>288</v>
      </c>
      <c r="F314" s="161">
        <v>130</v>
      </c>
      <c r="G314" s="161" t="s">
        <v>1385</v>
      </c>
      <c r="H314" s="161" t="s">
        <v>138</v>
      </c>
      <c r="I314" s="161">
        <v>67</v>
      </c>
      <c r="J314" s="161" t="s">
        <v>105</v>
      </c>
      <c r="K314" s="21" t="s">
        <v>106</v>
      </c>
      <c r="L314" s="161" t="s">
        <v>3380</v>
      </c>
      <c r="M314" s="21" t="s">
        <v>1332</v>
      </c>
      <c r="N314" s="161" t="s">
        <v>67</v>
      </c>
      <c r="O314" s="21" t="s">
        <v>68</v>
      </c>
      <c r="P314" s="161" t="s">
        <v>109</v>
      </c>
      <c r="Q314" s="21" t="s">
        <v>1323</v>
      </c>
      <c r="R314" s="161" t="s">
        <v>1324</v>
      </c>
      <c r="S314" s="161" t="s">
        <v>1325</v>
      </c>
      <c r="T314" s="161" t="s">
        <v>141</v>
      </c>
      <c r="U314" s="161" t="s">
        <v>73</v>
      </c>
      <c r="V314" s="21" t="s">
        <v>74</v>
      </c>
      <c r="W314" s="21" t="s">
        <v>257</v>
      </c>
      <c r="X314" s="161" t="s">
        <v>274</v>
      </c>
      <c r="Y314" s="161">
        <v>0.02</v>
      </c>
      <c r="Z314" s="161">
        <v>9</v>
      </c>
      <c r="AA314" s="161" t="s">
        <v>77</v>
      </c>
      <c r="AB314" s="161" t="s">
        <v>114</v>
      </c>
      <c r="AC314" s="266" t="str">
        <f>HYPERLINK("https://gcsvt.ru/svetodiodnyie-svetilniki/svt-str-mpro-96w-cri90-5700k-trio/","Ссылка")</f>
        <v>Ссылка</v>
      </c>
      <c r="AD314" s="170" t="s">
        <v>2859</v>
      </c>
    </row>
    <row r="315" spans="1:30" s="161" customFormat="1" ht="39.950000000000003" hidden="1" customHeight="1" outlineLevel="1" x14ac:dyDescent="0.25">
      <c r="A315" s="21"/>
      <c r="B315" s="21" t="s">
        <v>1320</v>
      </c>
      <c r="C315" s="159" t="s">
        <v>1386</v>
      </c>
      <c r="D315" s="161">
        <v>50000</v>
      </c>
      <c r="E315" s="161">
        <v>384</v>
      </c>
      <c r="F315" s="161">
        <v>130</v>
      </c>
      <c r="G315" s="161" t="s">
        <v>1387</v>
      </c>
      <c r="H315" s="161" t="s">
        <v>138</v>
      </c>
      <c r="I315" s="161">
        <v>67</v>
      </c>
      <c r="J315" s="161" t="s">
        <v>105</v>
      </c>
      <c r="K315" s="21" t="s">
        <v>106</v>
      </c>
      <c r="L315" s="161" t="s">
        <v>3380</v>
      </c>
      <c r="M315" s="21" t="s">
        <v>1332</v>
      </c>
      <c r="N315" s="161" t="s">
        <v>67</v>
      </c>
      <c r="O315" s="21" t="s">
        <v>68</v>
      </c>
      <c r="P315" s="161" t="s">
        <v>109</v>
      </c>
      <c r="Q315" s="21" t="s">
        <v>1323</v>
      </c>
      <c r="R315" s="161" t="s">
        <v>1324</v>
      </c>
      <c r="S315" s="161" t="s">
        <v>1325</v>
      </c>
      <c r="T315" s="161" t="s">
        <v>141</v>
      </c>
      <c r="U315" s="161" t="s">
        <v>73</v>
      </c>
      <c r="V315" s="21" t="s">
        <v>74</v>
      </c>
      <c r="W315" s="21" t="s">
        <v>257</v>
      </c>
      <c r="X315" s="161" t="s">
        <v>278</v>
      </c>
      <c r="Y315" s="161">
        <v>0.03</v>
      </c>
      <c r="Z315" s="161">
        <v>12</v>
      </c>
      <c r="AA315" s="161" t="s">
        <v>77</v>
      </c>
      <c r="AB315" s="161" t="s">
        <v>114</v>
      </c>
      <c r="AC315" s="266" t="str">
        <f>HYPERLINK("https://gcsvt.ru/svetodiodnyie-svetilniki/svt-str-mpro-96w-cri90-5700k-quattro/","Ссылка")</f>
        <v>Ссылка</v>
      </c>
      <c r="AD315" s="170" t="s">
        <v>2859</v>
      </c>
    </row>
    <row r="316" spans="1:30" s="161" customFormat="1" ht="39.950000000000003" hidden="1" customHeight="1" outlineLevel="1" x14ac:dyDescent="0.25">
      <c r="A316" s="21"/>
      <c r="B316" s="21" t="s">
        <v>1388</v>
      </c>
      <c r="C316" s="159" t="s">
        <v>1389</v>
      </c>
      <c r="D316" s="161">
        <v>10000</v>
      </c>
      <c r="E316" s="161">
        <v>81</v>
      </c>
      <c r="F316" s="161">
        <v>123</v>
      </c>
      <c r="G316" s="161" t="s">
        <v>1390</v>
      </c>
      <c r="H316" s="161" t="s">
        <v>177</v>
      </c>
      <c r="I316" s="161">
        <v>67</v>
      </c>
      <c r="J316" s="161" t="s">
        <v>389</v>
      </c>
      <c r="K316" s="21" t="s">
        <v>106</v>
      </c>
      <c r="L316" s="161" t="s">
        <v>3380</v>
      </c>
      <c r="M316" s="21" t="s">
        <v>1332</v>
      </c>
      <c r="N316" s="161" t="s">
        <v>67</v>
      </c>
      <c r="O316" s="21" t="s">
        <v>68</v>
      </c>
      <c r="P316" s="161" t="s">
        <v>109</v>
      </c>
      <c r="Q316" s="21" t="s">
        <v>1323</v>
      </c>
      <c r="R316" s="161" t="s">
        <v>1324</v>
      </c>
      <c r="S316" s="161" t="s">
        <v>1325</v>
      </c>
      <c r="T316" s="161" t="s">
        <v>390</v>
      </c>
      <c r="U316" s="161" t="s">
        <v>73</v>
      </c>
      <c r="V316" s="21" t="s">
        <v>74</v>
      </c>
      <c r="W316" s="21" t="s">
        <v>257</v>
      </c>
      <c r="X316" s="161" t="s">
        <v>156</v>
      </c>
      <c r="Y316" s="161">
        <v>0.01</v>
      </c>
      <c r="Z316" s="161">
        <v>2.2000000000000002</v>
      </c>
      <c r="AA316" s="161" t="s">
        <v>77</v>
      </c>
      <c r="AB316" s="161" t="s">
        <v>391</v>
      </c>
      <c r="AC316" s="266" t="str">
        <f>HYPERLINK("https://gcsvt.ru/svetodiodnyie-svetilniki/svt-str-mpro-max-81w-20-cri90-5700k/","Ссылка")</f>
        <v>Ссылка</v>
      </c>
      <c r="AD316" s="170" t="s">
        <v>2859</v>
      </c>
    </row>
    <row r="317" spans="1:30" s="161" customFormat="1" ht="39.950000000000003" hidden="1" customHeight="1" outlineLevel="1" x14ac:dyDescent="0.25">
      <c r="A317" s="21"/>
      <c r="B317" s="21" t="s">
        <v>1388</v>
      </c>
      <c r="C317" s="159" t="s">
        <v>1391</v>
      </c>
      <c r="D317" s="161">
        <v>10000</v>
      </c>
      <c r="E317" s="161">
        <v>81</v>
      </c>
      <c r="F317" s="161">
        <v>123</v>
      </c>
      <c r="G317" s="161" t="s">
        <v>1392</v>
      </c>
      <c r="H317" s="161" t="s">
        <v>180</v>
      </c>
      <c r="I317" s="161">
        <v>67</v>
      </c>
      <c r="J317" s="161" t="s">
        <v>389</v>
      </c>
      <c r="K317" s="21" t="s">
        <v>106</v>
      </c>
      <c r="L317" s="161" t="s">
        <v>3380</v>
      </c>
      <c r="M317" s="21" t="s">
        <v>1332</v>
      </c>
      <c r="N317" s="161" t="s">
        <v>67</v>
      </c>
      <c r="O317" s="21" t="s">
        <v>68</v>
      </c>
      <c r="P317" s="161" t="s">
        <v>109</v>
      </c>
      <c r="Q317" s="21" t="s">
        <v>1323</v>
      </c>
      <c r="R317" s="161" t="s">
        <v>1324</v>
      </c>
      <c r="S317" s="161" t="s">
        <v>1325</v>
      </c>
      <c r="T317" s="161" t="s">
        <v>390</v>
      </c>
      <c r="U317" s="161" t="s">
        <v>73</v>
      </c>
      <c r="V317" s="21" t="s">
        <v>74</v>
      </c>
      <c r="W317" s="21" t="s">
        <v>257</v>
      </c>
      <c r="X317" s="161" t="s">
        <v>156</v>
      </c>
      <c r="Y317" s="161">
        <v>0.01</v>
      </c>
      <c r="Z317" s="161">
        <v>2.2000000000000002</v>
      </c>
      <c r="AA317" s="161" t="s">
        <v>77</v>
      </c>
      <c r="AB317" s="161" t="s">
        <v>391</v>
      </c>
      <c r="AC317" s="266" t="str">
        <f>HYPERLINK("https://gcsvt.ru/svetodiodnyie-svetilniki/svt-str-mpro-max-81w-35-cri90-5700k/","Ссылка")</f>
        <v>Ссылка</v>
      </c>
      <c r="AD317" s="170" t="s">
        <v>2859</v>
      </c>
    </row>
    <row r="318" spans="1:30" s="161" customFormat="1" ht="39.950000000000003" hidden="1" customHeight="1" outlineLevel="1" x14ac:dyDescent="0.25">
      <c r="A318" s="21"/>
      <c r="B318" s="21" t="s">
        <v>1388</v>
      </c>
      <c r="C318" s="159" t="s">
        <v>1393</v>
      </c>
      <c r="D318" s="161">
        <v>10000</v>
      </c>
      <c r="E318" s="161">
        <v>81</v>
      </c>
      <c r="F318" s="161">
        <v>123</v>
      </c>
      <c r="G318" s="161" t="s">
        <v>1394</v>
      </c>
      <c r="H318" s="161" t="s">
        <v>183</v>
      </c>
      <c r="I318" s="161">
        <v>67</v>
      </c>
      <c r="J318" s="161" t="s">
        <v>389</v>
      </c>
      <c r="K318" s="21" t="s">
        <v>106</v>
      </c>
      <c r="L318" s="161" t="s">
        <v>3380</v>
      </c>
      <c r="M318" s="21" t="s">
        <v>1332</v>
      </c>
      <c r="N318" s="161" t="s">
        <v>67</v>
      </c>
      <c r="O318" s="21" t="s">
        <v>68</v>
      </c>
      <c r="P318" s="161" t="s">
        <v>109</v>
      </c>
      <c r="Q318" s="21" t="s">
        <v>1323</v>
      </c>
      <c r="R318" s="161" t="s">
        <v>1324</v>
      </c>
      <c r="S318" s="161" t="s">
        <v>1325</v>
      </c>
      <c r="T318" s="161" t="s">
        <v>390</v>
      </c>
      <c r="U318" s="161" t="s">
        <v>73</v>
      </c>
      <c r="V318" s="21" t="s">
        <v>74</v>
      </c>
      <c r="W318" s="21" t="s">
        <v>257</v>
      </c>
      <c r="X318" s="161" t="s">
        <v>156</v>
      </c>
      <c r="Y318" s="161">
        <v>0.01</v>
      </c>
      <c r="Z318" s="161">
        <v>2.2000000000000002</v>
      </c>
      <c r="AA318" s="161" t="s">
        <v>77</v>
      </c>
      <c r="AB318" s="161" t="s">
        <v>391</v>
      </c>
      <c r="AC318" s="266" t="str">
        <f>HYPERLINK("https://gcsvt.ru/svetodiodnyie-svetilniki/svt-str-mpro-max-81w-65-cri90-5700k/","Ссылка")</f>
        <v>Ссылка</v>
      </c>
      <c r="AD318" s="170" t="s">
        <v>2859</v>
      </c>
    </row>
    <row r="319" spans="1:30" s="161" customFormat="1" ht="39.950000000000003" hidden="1" customHeight="1" outlineLevel="1" x14ac:dyDescent="0.25">
      <c r="A319" s="21"/>
      <c r="B319" s="21" t="s">
        <v>1388</v>
      </c>
      <c r="C319" s="159" t="s">
        <v>1395</v>
      </c>
      <c r="D319" s="161">
        <v>15000</v>
      </c>
      <c r="E319" s="161">
        <v>119</v>
      </c>
      <c r="F319" s="161">
        <v>126</v>
      </c>
      <c r="G319" s="161" t="s">
        <v>1396</v>
      </c>
      <c r="H319" s="161" t="s">
        <v>177</v>
      </c>
      <c r="I319" s="161">
        <v>67</v>
      </c>
      <c r="J319" s="161" t="s">
        <v>389</v>
      </c>
      <c r="K319" s="21" t="s">
        <v>106</v>
      </c>
      <c r="L319" s="161" t="s">
        <v>3380</v>
      </c>
      <c r="M319" s="21" t="s">
        <v>1332</v>
      </c>
      <c r="N319" s="161" t="s">
        <v>67</v>
      </c>
      <c r="O319" s="21" t="s">
        <v>68</v>
      </c>
      <c r="P319" s="161" t="s">
        <v>109</v>
      </c>
      <c r="Q319" s="21" t="s">
        <v>1323</v>
      </c>
      <c r="R319" s="161" t="s">
        <v>1324</v>
      </c>
      <c r="S319" s="161" t="s">
        <v>1325</v>
      </c>
      <c r="T319" s="161" t="s">
        <v>390</v>
      </c>
      <c r="U319" s="161" t="s">
        <v>73</v>
      </c>
      <c r="V319" s="21" t="s">
        <v>74</v>
      </c>
      <c r="W319" s="21" t="s">
        <v>257</v>
      </c>
      <c r="X319" s="161" t="s">
        <v>424</v>
      </c>
      <c r="Y319" s="161">
        <v>0.01</v>
      </c>
      <c r="Z319" s="161">
        <v>2.8</v>
      </c>
      <c r="AA319" s="161" t="s">
        <v>77</v>
      </c>
      <c r="AB319" s="161" t="s">
        <v>391</v>
      </c>
      <c r="AC319" s="266" t="str">
        <f>HYPERLINK("https://gcsvt.ru/svetodiodnyie-svetilniki/svt-str-mpro-max-119w-20-cri90-5700k/","Ссылка")</f>
        <v>Ссылка</v>
      </c>
      <c r="AD319" s="170" t="s">
        <v>2859</v>
      </c>
    </row>
    <row r="320" spans="1:30" s="161" customFormat="1" ht="39.950000000000003" hidden="1" customHeight="1" outlineLevel="1" x14ac:dyDescent="0.25">
      <c r="A320" s="21"/>
      <c r="B320" s="21" t="s">
        <v>1388</v>
      </c>
      <c r="C320" s="159" t="s">
        <v>1397</v>
      </c>
      <c r="D320" s="161">
        <v>15000</v>
      </c>
      <c r="E320" s="161">
        <v>119</v>
      </c>
      <c r="F320" s="161">
        <v>126</v>
      </c>
      <c r="G320" s="161" t="s">
        <v>1398</v>
      </c>
      <c r="H320" s="161" t="s">
        <v>180</v>
      </c>
      <c r="I320" s="161">
        <v>67</v>
      </c>
      <c r="J320" s="161" t="s">
        <v>389</v>
      </c>
      <c r="K320" s="21" t="s">
        <v>106</v>
      </c>
      <c r="L320" s="161" t="s">
        <v>3380</v>
      </c>
      <c r="M320" s="21" t="s">
        <v>1332</v>
      </c>
      <c r="N320" s="161" t="s">
        <v>67</v>
      </c>
      <c r="O320" s="21" t="s">
        <v>68</v>
      </c>
      <c r="P320" s="161" t="s">
        <v>109</v>
      </c>
      <c r="Q320" s="21" t="s">
        <v>1323</v>
      </c>
      <c r="R320" s="161" t="s">
        <v>1324</v>
      </c>
      <c r="S320" s="161" t="s">
        <v>1325</v>
      </c>
      <c r="T320" s="161" t="s">
        <v>390</v>
      </c>
      <c r="U320" s="161" t="s">
        <v>73</v>
      </c>
      <c r="V320" s="21" t="s">
        <v>74</v>
      </c>
      <c r="W320" s="21" t="s">
        <v>257</v>
      </c>
      <c r="X320" s="161" t="s">
        <v>424</v>
      </c>
      <c r="Y320" s="161">
        <v>0.01</v>
      </c>
      <c r="Z320" s="161">
        <v>2.8</v>
      </c>
      <c r="AA320" s="161" t="s">
        <v>77</v>
      </c>
      <c r="AB320" s="161" t="s">
        <v>391</v>
      </c>
      <c r="AC320" s="266" t="str">
        <f>HYPERLINK("https://gcsvt.ru/svetodiodnyie-svetilniki/svt-str-mpro-max-119w-35-cri90-5700k/","Ссылка")</f>
        <v>Ссылка</v>
      </c>
      <c r="AD320" s="170" t="s">
        <v>2859</v>
      </c>
    </row>
    <row r="321" spans="1:30" s="161" customFormat="1" ht="39.950000000000003" hidden="1" customHeight="1" outlineLevel="1" x14ac:dyDescent="0.25">
      <c r="A321" s="21"/>
      <c r="B321" s="21" t="s">
        <v>1388</v>
      </c>
      <c r="C321" s="159" t="s">
        <v>1399</v>
      </c>
      <c r="D321" s="161">
        <v>15000</v>
      </c>
      <c r="E321" s="161">
        <v>119</v>
      </c>
      <c r="F321" s="161">
        <v>126</v>
      </c>
      <c r="G321" s="161" t="s">
        <v>1400</v>
      </c>
      <c r="H321" s="161" t="s">
        <v>183</v>
      </c>
      <c r="I321" s="161">
        <v>67</v>
      </c>
      <c r="J321" s="161" t="s">
        <v>389</v>
      </c>
      <c r="K321" s="21" t="s">
        <v>106</v>
      </c>
      <c r="L321" s="161" t="s">
        <v>3380</v>
      </c>
      <c r="M321" s="21" t="s">
        <v>1332</v>
      </c>
      <c r="N321" s="161" t="s">
        <v>67</v>
      </c>
      <c r="O321" s="21" t="s">
        <v>68</v>
      </c>
      <c r="P321" s="161" t="s">
        <v>109</v>
      </c>
      <c r="Q321" s="21" t="s">
        <v>1323</v>
      </c>
      <c r="R321" s="161" t="s">
        <v>1324</v>
      </c>
      <c r="S321" s="161" t="s">
        <v>1325</v>
      </c>
      <c r="T321" s="161" t="s">
        <v>390</v>
      </c>
      <c r="U321" s="161" t="s">
        <v>73</v>
      </c>
      <c r="V321" s="21" t="s">
        <v>74</v>
      </c>
      <c r="W321" s="21" t="s">
        <v>257</v>
      </c>
      <c r="X321" s="161" t="s">
        <v>424</v>
      </c>
      <c r="Y321" s="161">
        <v>0.01</v>
      </c>
      <c r="Z321" s="161">
        <v>2.8</v>
      </c>
      <c r="AA321" s="161" t="s">
        <v>77</v>
      </c>
      <c r="AB321" s="161" t="s">
        <v>391</v>
      </c>
      <c r="AC321" s="266" t="str">
        <f>HYPERLINK("https://gcsvt.ru/svetodiodnyie-svetilniki/svt-str-mpro-max-119w-65-cri90-5700k/","Ссылка")</f>
        <v>Ссылка</v>
      </c>
      <c r="AD321" s="170" t="s">
        <v>2859</v>
      </c>
    </row>
    <row r="322" spans="1:30" s="161" customFormat="1" ht="39.950000000000003" hidden="1" customHeight="1" outlineLevel="1" x14ac:dyDescent="0.25">
      <c r="A322" s="21"/>
      <c r="B322" s="21" t="s">
        <v>1388</v>
      </c>
      <c r="C322" s="159" t="s">
        <v>1401</v>
      </c>
      <c r="D322" s="161">
        <v>20000</v>
      </c>
      <c r="E322" s="161">
        <v>155</v>
      </c>
      <c r="F322" s="161">
        <v>129</v>
      </c>
      <c r="G322" s="161" t="s">
        <v>1402</v>
      </c>
      <c r="H322" s="161" t="s">
        <v>177</v>
      </c>
      <c r="I322" s="161">
        <v>67</v>
      </c>
      <c r="J322" s="161" t="s">
        <v>389</v>
      </c>
      <c r="K322" s="21" t="s">
        <v>106</v>
      </c>
      <c r="L322" s="161" t="s">
        <v>3380</v>
      </c>
      <c r="M322" s="21" t="s">
        <v>1332</v>
      </c>
      <c r="N322" s="161" t="s">
        <v>67</v>
      </c>
      <c r="O322" s="21" t="s">
        <v>68</v>
      </c>
      <c r="P322" s="161" t="s">
        <v>109</v>
      </c>
      <c r="Q322" s="21" t="s">
        <v>1323</v>
      </c>
      <c r="R322" s="161" t="s">
        <v>1324</v>
      </c>
      <c r="S322" s="161" t="s">
        <v>1325</v>
      </c>
      <c r="T322" s="161" t="s">
        <v>390</v>
      </c>
      <c r="U322" s="161" t="s">
        <v>73</v>
      </c>
      <c r="V322" s="21" t="s">
        <v>74</v>
      </c>
      <c r="W322" s="21" t="s">
        <v>257</v>
      </c>
      <c r="X322" s="161" t="s">
        <v>442</v>
      </c>
      <c r="Y322" s="161">
        <v>0.01</v>
      </c>
      <c r="Z322" s="161">
        <v>3.5</v>
      </c>
      <c r="AA322" s="161" t="s">
        <v>77</v>
      </c>
      <c r="AB322" s="161" t="s">
        <v>391</v>
      </c>
      <c r="AC322" s="266" t="str">
        <f>HYPERLINK("https://gcsvt.ru/svetodiodnyie-svetilniki/svt-str-mpro-max-155w-20-cri90-5700k/","Ссылка")</f>
        <v>Ссылка</v>
      </c>
      <c r="AD322" s="170" t="s">
        <v>2859</v>
      </c>
    </row>
    <row r="323" spans="1:30" s="161" customFormat="1" ht="39.950000000000003" hidden="1" customHeight="1" outlineLevel="1" x14ac:dyDescent="0.25">
      <c r="A323" s="21"/>
      <c r="B323" s="21" t="s">
        <v>1388</v>
      </c>
      <c r="C323" s="159" t="s">
        <v>1403</v>
      </c>
      <c r="D323" s="161">
        <v>20000</v>
      </c>
      <c r="E323" s="161">
        <v>155</v>
      </c>
      <c r="F323" s="161">
        <v>129</v>
      </c>
      <c r="G323" s="161" t="s">
        <v>1404</v>
      </c>
      <c r="H323" s="161" t="s">
        <v>180</v>
      </c>
      <c r="I323" s="161">
        <v>67</v>
      </c>
      <c r="J323" s="161" t="s">
        <v>389</v>
      </c>
      <c r="K323" s="21" t="s">
        <v>106</v>
      </c>
      <c r="L323" s="161" t="s">
        <v>3380</v>
      </c>
      <c r="M323" s="21" t="s">
        <v>1332</v>
      </c>
      <c r="N323" s="161" t="s">
        <v>67</v>
      </c>
      <c r="O323" s="21" t="s">
        <v>68</v>
      </c>
      <c r="P323" s="161" t="s">
        <v>109</v>
      </c>
      <c r="Q323" s="21" t="s">
        <v>1323</v>
      </c>
      <c r="R323" s="161" t="s">
        <v>1324</v>
      </c>
      <c r="S323" s="161" t="s">
        <v>1325</v>
      </c>
      <c r="T323" s="161" t="s">
        <v>390</v>
      </c>
      <c r="U323" s="161" t="s">
        <v>73</v>
      </c>
      <c r="V323" s="21" t="s">
        <v>74</v>
      </c>
      <c r="W323" s="21" t="s">
        <v>257</v>
      </c>
      <c r="X323" s="161" t="s">
        <v>442</v>
      </c>
      <c r="Y323" s="161">
        <v>0.01</v>
      </c>
      <c r="Z323" s="161">
        <v>3.5</v>
      </c>
      <c r="AA323" s="161" t="s">
        <v>77</v>
      </c>
      <c r="AB323" s="161" t="s">
        <v>391</v>
      </c>
      <c r="AC323" s="266" t="str">
        <f>HYPERLINK("https://gcsvt.ru/svetodiodnyie-svetilniki/svt-str-mpro-max-155w-35-cri90-5700k/","Ссылка")</f>
        <v>Ссылка</v>
      </c>
      <c r="AD323" s="170" t="s">
        <v>2859</v>
      </c>
    </row>
    <row r="324" spans="1:30" s="161" customFormat="1" ht="39.950000000000003" hidden="1" customHeight="1" outlineLevel="1" x14ac:dyDescent="0.25">
      <c r="A324" s="21"/>
      <c r="B324" s="21" t="s">
        <v>1388</v>
      </c>
      <c r="C324" s="159" t="s">
        <v>1405</v>
      </c>
      <c r="D324" s="161">
        <v>20000</v>
      </c>
      <c r="E324" s="161">
        <v>155</v>
      </c>
      <c r="F324" s="161">
        <v>129</v>
      </c>
      <c r="G324" s="161" t="s">
        <v>1406</v>
      </c>
      <c r="H324" s="161" t="s">
        <v>183</v>
      </c>
      <c r="I324" s="161">
        <v>67</v>
      </c>
      <c r="J324" s="161" t="s">
        <v>389</v>
      </c>
      <c r="K324" s="21" t="s">
        <v>106</v>
      </c>
      <c r="L324" s="161" t="s">
        <v>3380</v>
      </c>
      <c r="M324" s="21" t="s">
        <v>1332</v>
      </c>
      <c r="N324" s="161" t="s">
        <v>67</v>
      </c>
      <c r="O324" s="21" t="s">
        <v>68</v>
      </c>
      <c r="P324" s="161" t="s">
        <v>109</v>
      </c>
      <c r="Q324" s="21" t="s">
        <v>1323</v>
      </c>
      <c r="R324" s="161" t="s">
        <v>1324</v>
      </c>
      <c r="S324" s="161" t="s">
        <v>1325</v>
      </c>
      <c r="T324" s="161" t="s">
        <v>390</v>
      </c>
      <c r="U324" s="161" t="s">
        <v>73</v>
      </c>
      <c r="V324" s="21" t="s">
        <v>74</v>
      </c>
      <c r="W324" s="21" t="s">
        <v>257</v>
      </c>
      <c r="X324" s="161" t="s">
        <v>442</v>
      </c>
      <c r="Y324" s="161">
        <v>0.01</v>
      </c>
      <c r="Z324" s="161">
        <v>3.5</v>
      </c>
      <c r="AA324" s="161" t="s">
        <v>77</v>
      </c>
      <c r="AB324" s="161" t="s">
        <v>391</v>
      </c>
      <c r="AC324" s="266" t="str">
        <f>HYPERLINK("https://gcsvt.ru/svetodiodnyie-svetilniki/svt-str-mpro-max-155w-65-cri90-5700k/","Ссылка")</f>
        <v>Ссылка</v>
      </c>
      <c r="AD324" s="170" t="s">
        <v>2859</v>
      </c>
    </row>
    <row r="325" spans="1:30" s="161" customFormat="1" ht="39.950000000000003" hidden="1" customHeight="1" outlineLevel="1" x14ac:dyDescent="0.25">
      <c r="A325" s="21"/>
      <c r="B325" s="21" t="s">
        <v>1388</v>
      </c>
      <c r="C325" s="159" t="s">
        <v>1407</v>
      </c>
      <c r="D325" s="161">
        <v>30000</v>
      </c>
      <c r="E325" s="161">
        <v>238</v>
      </c>
      <c r="F325" s="161">
        <v>126</v>
      </c>
      <c r="G325" s="161" t="s">
        <v>1408</v>
      </c>
      <c r="H325" s="161" t="s">
        <v>177</v>
      </c>
      <c r="I325" s="161">
        <v>67</v>
      </c>
      <c r="J325" s="161" t="s">
        <v>389</v>
      </c>
      <c r="K325" s="21" t="s">
        <v>106</v>
      </c>
      <c r="L325" s="161" t="s">
        <v>3380</v>
      </c>
      <c r="M325" s="21" t="s">
        <v>1332</v>
      </c>
      <c r="N325" s="161" t="s">
        <v>67</v>
      </c>
      <c r="O325" s="21" t="s">
        <v>68</v>
      </c>
      <c r="P325" s="161" t="s">
        <v>109</v>
      </c>
      <c r="Q325" s="21" t="s">
        <v>1323</v>
      </c>
      <c r="R325" s="161" t="s">
        <v>1324</v>
      </c>
      <c r="S325" s="161" t="s">
        <v>1325</v>
      </c>
      <c r="T325" s="161" t="s">
        <v>390</v>
      </c>
      <c r="U325" s="161" t="s">
        <v>73</v>
      </c>
      <c r="V325" s="21" t="s">
        <v>74</v>
      </c>
      <c r="W325" s="21" t="s">
        <v>257</v>
      </c>
      <c r="X325" s="161" t="s">
        <v>460</v>
      </c>
      <c r="Y325" s="161">
        <v>0.02</v>
      </c>
      <c r="Z325" s="161">
        <v>6.5</v>
      </c>
      <c r="AA325" s="161" t="s">
        <v>77</v>
      </c>
      <c r="AB325" s="161" t="s">
        <v>391</v>
      </c>
      <c r="AC325" s="266" t="str">
        <f>HYPERLINK("https://gcsvt.ru/svetodiodnyie-svetilniki/svt-str-mpro-max-119w-20-cri90-5700k-duo/","Ссылка")</f>
        <v>Ссылка</v>
      </c>
      <c r="AD325" s="170" t="s">
        <v>2859</v>
      </c>
    </row>
    <row r="326" spans="1:30" s="161" customFormat="1" ht="39.950000000000003" hidden="1" customHeight="1" outlineLevel="1" x14ac:dyDescent="0.25">
      <c r="A326" s="21"/>
      <c r="B326" s="21" t="s">
        <v>1388</v>
      </c>
      <c r="C326" s="159" t="s">
        <v>1409</v>
      </c>
      <c r="D326" s="161">
        <v>30000</v>
      </c>
      <c r="E326" s="161">
        <v>238</v>
      </c>
      <c r="F326" s="161">
        <v>126</v>
      </c>
      <c r="G326" s="161" t="s">
        <v>1410</v>
      </c>
      <c r="H326" s="161" t="s">
        <v>180</v>
      </c>
      <c r="I326" s="161">
        <v>67</v>
      </c>
      <c r="J326" s="161" t="s">
        <v>389</v>
      </c>
      <c r="K326" s="21" t="s">
        <v>106</v>
      </c>
      <c r="L326" s="161" t="s">
        <v>3380</v>
      </c>
      <c r="M326" s="21" t="s">
        <v>1332</v>
      </c>
      <c r="N326" s="161" t="s">
        <v>67</v>
      </c>
      <c r="O326" s="21" t="s">
        <v>68</v>
      </c>
      <c r="P326" s="161" t="s">
        <v>109</v>
      </c>
      <c r="Q326" s="21" t="s">
        <v>1323</v>
      </c>
      <c r="R326" s="161" t="s">
        <v>1324</v>
      </c>
      <c r="S326" s="161" t="s">
        <v>1325</v>
      </c>
      <c r="T326" s="161" t="s">
        <v>390</v>
      </c>
      <c r="U326" s="161" t="s">
        <v>73</v>
      </c>
      <c r="V326" s="21" t="s">
        <v>74</v>
      </c>
      <c r="W326" s="21" t="s">
        <v>257</v>
      </c>
      <c r="X326" s="161" t="s">
        <v>460</v>
      </c>
      <c r="Y326" s="161">
        <v>0.02</v>
      </c>
      <c r="Z326" s="161">
        <v>6.5</v>
      </c>
      <c r="AA326" s="161" t="s">
        <v>77</v>
      </c>
      <c r="AB326" s="161" t="s">
        <v>391</v>
      </c>
      <c r="AC326" s="266" t="str">
        <f>HYPERLINK("https://gcsvt.ru/svetodiodnyie-svetilniki/svt-str-mpro-max-119w-35-cri90-5700k-duo/","Ссылка")</f>
        <v>Ссылка</v>
      </c>
      <c r="AD326" s="170" t="s">
        <v>2859</v>
      </c>
    </row>
    <row r="327" spans="1:30" s="161" customFormat="1" ht="39.950000000000003" hidden="1" customHeight="1" outlineLevel="1" x14ac:dyDescent="0.25">
      <c r="A327" s="21"/>
      <c r="B327" s="21" t="s">
        <v>1388</v>
      </c>
      <c r="C327" s="159" t="s">
        <v>1411</v>
      </c>
      <c r="D327" s="161">
        <v>30000</v>
      </c>
      <c r="E327" s="161">
        <v>238</v>
      </c>
      <c r="F327" s="161">
        <v>126</v>
      </c>
      <c r="G327" s="161" t="s">
        <v>1412</v>
      </c>
      <c r="H327" s="161" t="s">
        <v>183</v>
      </c>
      <c r="I327" s="161">
        <v>67</v>
      </c>
      <c r="J327" s="161" t="s">
        <v>389</v>
      </c>
      <c r="K327" s="21" t="s">
        <v>106</v>
      </c>
      <c r="L327" s="161" t="s">
        <v>3380</v>
      </c>
      <c r="M327" s="21" t="s">
        <v>1332</v>
      </c>
      <c r="N327" s="161" t="s">
        <v>67</v>
      </c>
      <c r="O327" s="21" t="s">
        <v>68</v>
      </c>
      <c r="P327" s="161" t="s">
        <v>109</v>
      </c>
      <c r="Q327" s="21" t="s">
        <v>1323</v>
      </c>
      <c r="R327" s="161" t="s">
        <v>1324</v>
      </c>
      <c r="S327" s="161" t="s">
        <v>1325</v>
      </c>
      <c r="T327" s="161" t="s">
        <v>390</v>
      </c>
      <c r="U327" s="161" t="s">
        <v>73</v>
      </c>
      <c r="V327" s="21" t="s">
        <v>74</v>
      </c>
      <c r="W327" s="21" t="s">
        <v>257</v>
      </c>
      <c r="X327" s="161" t="s">
        <v>460</v>
      </c>
      <c r="Y327" s="161">
        <v>0.02</v>
      </c>
      <c r="Z327" s="161">
        <v>6.5</v>
      </c>
      <c r="AA327" s="161" t="s">
        <v>77</v>
      </c>
      <c r="AB327" s="161" t="s">
        <v>391</v>
      </c>
      <c r="AC327" s="266" t="str">
        <f>HYPERLINK("https://gcsvt.ru/svetodiodnyie-svetilniki/svt-str-mpro-max-119w-65-cri90-5700k-duo/","Ссылка")</f>
        <v>Ссылка</v>
      </c>
      <c r="AD327" s="170" t="s">
        <v>2859</v>
      </c>
    </row>
    <row r="328" spans="1:30" s="161" customFormat="1" ht="39.950000000000003" hidden="1" customHeight="1" outlineLevel="1" x14ac:dyDescent="0.25">
      <c r="A328" s="21"/>
      <c r="B328" s="21" t="s">
        <v>1388</v>
      </c>
      <c r="C328" s="159" t="s">
        <v>1413</v>
      </c>
      <c r="D328" s="161">
        <v>45000</v>
      </c>
      <c r="E328" s="161">
        <v>357</v>
      </c>
      <c r="F328" s="161">
        <v>126</v>
      </c>
      <c r="G328" s="161" t="s">
        <v>1414</v>
      </c>
      <c r="H328" s="161" t="s">
        <v>177</v>
      </c>
      <c r="I328" s="161">
        <v>67</v>
      </c>
      <c r="J328" s="161" t="s">
        <v>389</v>
      </c>
      <c r="K328" s="21" t="s">
        <v>106</v>
      </c>
      <c r="L328" s="161" t="s">
        <v>3380</v>
      </c>
      <c r="M328" s="21" t="s">
        <v>1332</v>
      </c>
      <c r="N328" s="161" t="s">
        <v>67</v>
      </c>
      <c r="O328" s="21" t="s">
        <v>68</v>
      </c>
      <c r="P328" s="161" t="s">
        <v>109</v>
      </c>
      <c r="Q328" s="21" t="s">
        <v>1323</v>
      </c>
      <c r="R328" s="161" t="s">
        <v>1324</v>
      </c>
      <c r="S328" s="161" t="s">
        <v>1325</v>
      </c>
      <c r="T328" s="161" t="s">
        <v>390</v>
      </c>
      <c r="U328" s="161" t="s">
        <v>73</v>
      </c>
      <c r="V328" s="21" t="s">
        <v>74</v>
      </c>
      <c r="W328" s="21" t="s">
        <v>257</v>
      </c>
      <c r="X328" s="161" t="s">
        <v>469</v>
      </c>
      <c r="Y328" s="161">
        <v>0.03</v>
      </c>
      <c r="Z328" s="161">
        <v>9</v>
      </c>
      <c r="AA328" s="161" t="s">
        <v>77</v>
      </c>
      <c r="AB328" s="161" t="s">
        <v>391</v>
      </c>
      <c r="AC328" s="266" t="str">
        <f>HYPERLINK("https://gcsvt.ru/svetodiodnyie-svetilniki/svt-str-mpro-max-119w-20-cri90-5700k-trio/","Ссылка")</f>
        <v>Ссылка</v>
      </c>
      <c r="AD328" s="170" t="s">
        <v>2859</v>
      </c>
    </row>
    <row r="329" spans="1:30" s="161" customFormat="1" ht="39.950000000000003" hidden="1" customHeight="1" outlineLevel="1" x14ac:dyDescent="0.25">
      <c r="A329" s="21"/>
      <c r="B329" s="21" t="s">
        <v>1388</v>
      </c>
      <c r="C329" s="159" t="s">
        <v>1415</v>
      </c>
      <c r="D329" s="161">
        <v>45000</v>
      </c>
      <c r="E329" s="161">
        <v>357</v>
      </c>
      <c r="F329" s="161">
        <v>126</v>
      </c>
      <c r="G329" s="161" t="s">
        <v>1416</v>
      </c>
      <c r="H329" s="161" t="s">
        <v>180</v>
      </c>
      <c r="I329" s="161">
        <v>67</v>
      </c>
      <c r="J329" s="161" t="s">
        <v>389</v>
      </c>
      <c r="K329" s="21" t="s">
        <v>106</v>
      </c>
      <c r="L329" s="161" t="s">
        <v>3380</v>
      </c>
      <c r="M329" s="21" t="s">
        <v>1332</v>
      </c>
      <c r="N329" s="161" t="s">
        <v>67</v>
      </c>
      <c r="O329" s="21" t="s">
        <v>68</v>
      </c>
      <c r="P329" s="161" t="s">
        <v>109</v>
      </c>
      <c r="Q329" s="21" t="s">
        <v>1323</v>
      </c>
      <c r="R329" s="161" t="s">
        <v>1324</v>
      </c>
      <c r="S329" s="161" t="s">
        <v>1325</v>
      </c>
      <c r="T329" s="161" t="s">
        <v>390</v>
      </c>
      <c r="U329" s="161" t="s">
        <v>73</v>
      </c>
      <c r="V329" s="21" t="s">
        <v>74</v>
      </c>
      <c r="W329" s="21" t="s">
        <v>257</v>
      </c>
      <c r="X329" s="161" t="s">
        <v>469</v>
      </c>
      <c r="Y329" s="161">
        <v>0.03</v>
      </c>
      <c r="Z329" s="161">
        <v>9</v>
      </c>
      <c r="AA329" s="161" t="s">
        <v>77</v>
      </c>
      <c r="AB329" s="161" t="s">
        <v>391</v>
      </c>
      <c r="AC329" s="266" t="str">
        <f>HYPERLINK("https://gcsvt.ru/svetodiodnyie-svetilniki/svt-str-mpro-max-119w-35-cri90-5700k-trio/","Ссылка")</f>
        <v>Ссылка</v>
      </c>
      <c r="AD329" s="170" t="s">
        <v>2859</v>
      </c>
    </row>
    <row r="330" spans="1:30" s="161" customFormat="1" ht="39.950000000000003" hidden="1" customHeight="1" outlineLevel="1" x14ac:dyDescent="0.25">
      <c r="A330" s="21"/>
      <c r="B330" s="21" t="s">
        <v>1388</v>
      </c>
      <c r="C330" s="159" t="s">
        <v>1417</v>
      </c>
      <c r="D330" s="161">
        <v>45000</v>
      </c>
      <c r="E330" s="161">
        <v>357</v>
      </c>
      <c r="F330" s="161">
        <v>126</v>
      </c>
      <c r="G330" s="161" t="s">
        <v>1418</v>
      </c>
      <c r="H330" s="161" t="s">
        <v>183</v>
      </c>
      <c r="I330" s="161">
        <v>67</v>
      </c>
      <c r="J330" s="161" t="s">
        <v>389</v>
      </c>
      <c r="K330" s="21" t="s">
        <v>106</v>
      </c>
      <c r="L330" s="161" t="s">
        <v>3380</v>
      </c>
      <c r="M330" s="21" t="s">
        <v>1332</v>
      </c>
      <c r="N330" s="161" t="s">
        <v>67</v>
      </c>
      <c r="O330" s="21" t="s">
        <v>68</v>
      </c>
      <c r="P330" s="161" t="s">
        <v>109</v>
      </c>
      <c r="Q330" s="21" t="s">
        <v>1323</v>
      </c>
      <c r="R330" s="161" t="s">
        <v>1324</v>
      </c>
      <c r="S330" s="161" t="s">
        <v>1325</v>
      </c>
      <c r="T330" s="161" t="s">
        <v>390</v>
      </c>
      <c r="U330" s="161" t="s">
        <v>73</v>
      </c>
      <c r="V330" s="21" t="s">
        <v>74</v>
      </c>
      <c r="W330" s="21" t="s">
        <v>257</v>
      </c>
      <c r="X330" s="161" t="s">
        <v>469</v>
      </c>
      <c r="Y330" s="161">
        <v>0.03</v>
      </c>
      <c r="Z330" s="161">
        <v>9</v>
      </c>
      <c r="AA330" s="161" t="s">
        <v>77</v>
      </c>
      <c r="AB330" s="161" t="s">
        <v>391</v>
      </c>
      <c r="AC330" s="266" t="str">
        <f>HYPERLINK("https://gcsvt.ru/svetodiodnyie-svetilniki/svt-str-mpro-max-119w-65-cri90-5700k-trio/","Ссылка")</f>
        <v>Ссылка</v>
      </c>
      <c r="AD330" s="170" t="s">
        <v>2859</v>
      </c>
    </row>
    <row r="331" spans="1:30" s="161" customFormat="1" ht="39.950000000000003" hidden="1" customHeight="1" outlineLevel="1" x14ac:dyDescent="0.25">
      <c r="A331" s="21"/>
      <c r="B331" s="21" t="s">
        <v>1388</v>
      </c>
      <c r="C331" s="159" t="s">
        <v>1419</v>
      </c>
      <c r="D331" s="161">
        <v>40000</v>
      </c>
      <c r="E331" s="161">
        <v>310</v>
      </c>
      <c r="F331" s="161">
        <v>129</v>
      </c>
      <c r="G331" s="161" t="s">
        <v>1420</v>
      </c>
      <c r="H331" s="161" t="s">
        <v>177</v>
      </c>
      <c r="I331" s="161">
        <v>67</v>
      </c>
      <c r="J331" s="161" t="s">
        <v>389</v>
      </c>
      <c r="K331" s="21" t="s">
        <v>106</v>
      </c>
      <c r="L331" s="161" t="s">
        <v>3380</v>
      </c>
      <c r="M331" s="21" t="s">
        <v>1332</v>
      </c>
      <c r="N331" s="161" t="s">
        <v>67</v>
      </c>
      <c r="O331" s="21" t="s">
        <v>68</v>
      </c>
      <c r="P331" s="161" t="s">
        <v>109</v>
      </c>
      <c r="Q331" s="21" t="s">
        <v>1323</v>
      </c>
      <c r="R331" s="161" t="s">
        <v>1324</v>
      </c>
      <c r="S331" s="161" t="s">
        <v>1325</v>
      </c>
      <c r="T331" s="161" t="s">
        <v>390</v>
      </c>
      <c r="U331" s="161" t="s">
        <v>73</v>
      </c>
      <c r="V331" s="21" t="s">
        <v>74</v>
      </c>
      <c r="W331" s="21" t="s">
        <v>257</v>
      </c>
      <c r="X331" s="161" t="s">
        <v>478</v>
      </c>
      <c r="Y331" s="161">
        <v>0.02</v>
      </c>
      <c r="Z331" s="161">
        <v>8</v>
      </c>
      <c r="AA331" s="161" t="s">
        <v>77</v>
      </c>
      <c r="AB331" s="161" t="s">
        <v>391</v>
      </c>
      <c r="AC331" s="266" t="str">
        <f>HYPERLINK("https://gcsvt.ru/svetodiodnyie-svetilniki/svt-str-mpro-max-155w-20-cri90-5700k-duo/","Ссылка")</f>
        <v>Ссылка</v>
      </c>
      <c r="AD331" s="170" t="s">
        <v>2859</v>
      </c>
    </row>
    <row r="332" spans="1:30" s="161" customFormat="1" ht="39.950000000000003" hidden="1" customHeight="1" outlineLevel="1" x14ac:dyDescent="0.25">
      <c r="A332" s="21"/>
      <c r="B332" s="21" t="s">
        <v>1388</v>
      </c>
      <c r="C332" s="159" t="s">
        <v>1421</v>
      </c>
      <c r="D332" s="161">
        <v>40000</v>
      </c>
      <c r="E332" s="161">
        <v>310</v>
      </c>
      <c r="F332" s="161">
        <v>129</v>
      </c>
      <c r="G332" s="161" t="s">
        <v>1422</v>
      </c>
      <c r="H332" s="161" t="s">
        <v>180</v>
      </c>
      <c r="I332" s="161">
        <v>67</v>
      </c>
      <c r="J332" s="161" t="s">
        <v>389</v>
      </c>
      <c r="K332" s="21" t="s">
        <v>106</v>
      </c>
      <c r="L332" s="161" t="s">
        <v>3380</v>
      </c>
      <c r="M332" s="21" t="s">
        <v>1332</v>
      </c>
      <c r="N332" s="161" t="s">
        <v>67</v>
      </c>
      <c r="O332" s="21" t="s">
        <v>68</v>
      </c>
      <c r="P332" s="161" t="s">
        <v>109</v>
      </c>
      <c r="Q332" s="21" t="s">
        <v>1323</v>
      </c>
      <c r="R332" s="161" t="s">
        <v>1324</v>
      </c>
      <c r="S332" s="161" t="s">
        <v>1325</v>
      </c>
      <c r="T332" s="161" t="s">
        <v>390</v>
      </c>
      <c r="U332" s="161" t="s">
        <v>73</v>
      </c>
      <c r="V332" s="21" t="s">
        <v>74</v>
      </c>
      <c r="W332" s="21" t="s">
        <v>257</v>
      </c>
      <c r="X332" s="161" t="s">
        <v>478</v>
      </c>
      <c r="Y332" s="161">
        <v>0.02</v>
      </c>
      <c r="Z332" s="161">
        <v>8</v>
      </c>
      <c r="AA332" s="161" t="s">
        <v>77</v>
      </c>
      <c r="AB332" s="161" t="s">
        <v>391</v>
      </c>
      <c r="AC332" s="266" t="str">
        <f>HYPERLINK("https://gcsvt.ru/svetodiodnyie-svetilniki/svt-str-mpro-max-155w-35-cri90-5700k-duo/","Ссылка")</f>
        <v>Ссылка</v>
      </c>
      <c r="AD332" s="170" t="s">
        <v>2859</v>
      </c>
    </row>
    <row r="333" spans="1:30" s="161" customFormat="1" ht="39.950000000000003" hidden="1" customHeight="1" outlineLevel="1" x14ac:dyDescent="0.25">
      <c r="A333" s="21"/>
      <c r="B333" s="21" t="s">
        <v>1388</v>
      </c>
      <c r="C333" s="159" t="s">
        <v>1423</v>
      </c>
      <c r="D333" s="161">
        <v>40000</v>
      </c>
      <c r="E333" s="161">
        <v>310</v>
      </c>
      <c r="F333" s="161">
        <v>129</v>
      </c>
      <c r="G333" s="161" t="s">
        <v>1424</v>
      </c>
      <c r="H333" s="161" t="s">
        <v>183</v>
      </c>
      <c r="I333" s="161">
        <v>67</v>
      </c>
      <c r="J333" s="161" t="s">
        <v>389</v>
      </c>
      <c r="K333" s="21" t="s">
        <v>106</v>
      </c>
      <c r="L333" s="161" t="s">
        <v>3380</v>
      </c>
      <c r="M333" s="21" t="s">
        <v>1332</v>
      </c>
      <c r="N333" s="161" t="s">
        <v>67</v>
      </c>
      <c r="O333" s="21" t="s">
        <v>68</v>
      </c>
      <c r="P333" s="161" t="s">
        <v>109</v>
      </c>
      <c r="Q333" s="21" t="s">
        <v>1323</v>
      </c>
      <c r="R333" s="161" t="s">
        <v>1324</v>
      </c>
      <c r="S333" s="161" t="s">
        <v>1325</v>
      </c>
      <c r="T333" s="161" t="s">
        <v>390</v>
      </c>
      <c r="U333" s="161" t="s">
        <v>73</v>
      </c>
      <c r="V333" s="21" t="s">
        <v>74</v>
      </c>
      <c r="W333" s="21" t="s">
        <v>257</v>
      </c>
      <c r="X333" s="161" t="s">
        <v>478</v>
      </c>
      <c r="Y333" s="161">
        <v>0.02</v>
      </c>
      <c r="Z333" s="161">
        <v>8</v>
      </c>
      <c r="AA333" s="161" t="s">
        <v>77</v>
      </c>
      <c r="AB333" s="161" t="s">
        <v>391</v>
      </c>
      <c r="AC333" s="266" t="str">
        <f>HYPERLINK("https://gcsvt.ru/svetodiodnyie-svetilniki/svt-str-mpro-max-155w-65-cri90-5700k-duo/","Ссылка")</f>
        <v>Ссылка</v>
      </c>
      <c r="AD333" s="170" t="s">
        <v>2859</v>
      </c>
    </row>
    <row r="334" spans="1:30" s="161" customFormat="1" ht="39.950000000000003" hidden="1" customHeight="1" outlineLevel="1" x14ac:dyDescent="0.25">
      <c r="A334" s="21"/>
      <c r="B334" s="21" t="s">
        <v>1388</v>
      </c>
      <c r="C334" s="159" t="s">
        <v>1425</v>
      </c>
      <c r="D334" s="161">
        <v>60000</v>
      </c>
      <c r="E334" s="161">
        <v>465</v>
      </c>
      <c r="F334" s="161">
        <v>129</v>
      </c>
      <c r="G334" s="161" t="s">
        <v>1426</v>
      </c>
      <c r="H334" s="161" t="s">
        <v>177</v>
      </c>
      <c r="I334" s="161">
        <v>67</v>
      </c>
      <c r="J334" s="161" t="s">
        <v>389</v>
      </c>
      <c r="K334" s="21" t="s">
        <v>106</v>
      </c>
      <c r="L334" s="161" t="s">
        <v>3380</v>
      </c>
      <c r="M334" s="21" t="s">
        <v>1332</v>
      </c>
      <c r="N334" s="161" t="s">
        <v>67</v>
      </c>
      <c r="O334" s="21" t="s">
        <v>68</v>
      </c>
      <c r="P334" s="161" t="s">
        <v>109</v>
      </c>
      <c r="Q334" s="21" t="s">
        <v>1323</v>
      </c>
      <c r="R334" s="161" t="s">
        <v>1324</v>
      </c>
      <c r="S334" s="161" t="s">
        <v>1325</v>
      </c>
      <c r="T334" s="161" t="s">
        <v>390</v>
      </c>
      <c r="U334" s="161" t="s">
        <v>73</v>
      </c>
      <c r="V334" s="21" t="s">
        <v>74</v>
      </c>
      <c r="W334" s="21" t="s">
        <v>257</v>
      </c>
      <c r="X334" s="161" t="s">
        <v>487</v>
      </c>
      <c r="Y334" s="161">
        <v>0.03</v>
      </c>
      <c r="Z334" s="161">
        <v>11.5</v>
      </c>
      <c r="AA334" s="161" t="s">
        <v>77</v>
      </c>
      <c r="AB334" s="161" t="s">
        <v>391</v>
      </c>
      <c r="AC334" s="266" t="str">
        <f>HYPERLINK("https://gcsvt.ru/svetodiodnyie-svetilniki/svt-str-mpro-max-155w-20-cri90-5700k-trio/","Ссылка")</f>
        <v>Ссылка</v>
      </c>
      <c r="AD334" s="170" t="s">
        <v>2859</v>
      </c>
    </row>
    <row r="335" spans="1:30" s="161" customFormat="1" ht="39.950000000000003" hidden="1" customHeight="1" outlineLevel="1" x14ac:dyDescent="0.25">
      <c r="A335" s="21"/>
      <c r="B335" s="21" t="s">
        <v>1388</v>
      </c>
      <c r="C335" s="159" t="s">
        <v>1427</v>
      </c>
      <c r="D335" s="161">
        <v>60000</v>
      </c>
      <c r="E335" s="161">
        <v>465</v>
      </c>
      <c r="F335" s="161">
        <v>129</v>
      </c>
      <c r="G335" s="161" t="s">
        <v>1428</v>
      </c>
      <c r="H335" s="161" t="s">
        <v>180</v>
      </c>
      <c r="I335" s="161">
        <v>67</v>
      </c>
      <c r="J335" s="161" t="s">
        <v>389</v>
      </c>
      <c r="K335" s="21" t="s">
        <v>106</v>
      </c>
      <c r="L335" s="161" t="s">
        <v>3380</v>
      </c>
      <c r="M335" s="21" t="s">
        <v>1332</v>
      </c>
      <c r="N335" s="161" t="s">
        <v>67</v>
      </c>
      <c r="O335" s="21" t="s">
        <v>68</v>
      </c>
      <c r="P335" s="161" t="s">
        <v>109</v>
      </c>
      <c r="Q335" s="21" t="s">
        <v>1323</v>
      </c>
      <c r="R335" s="161" t="s">
        <v>1324</v>
      </c>
      <c r="S335" s="161" t="s">
        <v>1325</v>
      </c>
      <c r="T335" s="161" t="s">
        <v>390</v>
      </c>
      <c r="U335" s="161" t="s">
        <v>73</v>
      </c>
      <c r="V335" s="21" t="s">
        <v>74</v>
      </c>
      <c r="W335" s="21" t="s">
        <v>257</v>
      </c>
      <c r="X335" s="161" t="s">
        <v>487</v>
      </c>
      <c r="Y335" s="161">
        <v>0.03</v>
      </c>
      <c r="Z335" s="161">
        <v>11.5</v>
      </c>
      <c r="AA335" s="161" t="s">
        <v>77</v>
      </c>
      <c r="AB335" s="161" t="s">
        <v>391</v>
      </c>
      <c r="AC335" s="266" t="str">
        <f>HYPERLINK("https://gcsvt.ru/svetodiodnyie-svetilniki/svt-str-mpro-max-155w-35-cri90-5700k-trio/","Ссылка")</f>
        <v>Ссылка</v>
      </c>
      <c r="AD335" s="170" t="s">
        <v>2859</v>
      </c>
    </row>
    <row r="336" spans="1:30" s="161" customFormat="1" ht="39.950000000000003" hidden="1" customHeight="1" outlineLevel="1" x14ac:dyDescent="0.25">
      <c r="A336" s="21"/>
      <c r="B336" s="21" t="s">
        <v>1388</v>
      </c>
      <c r="C336" s="159" t="s">
        <v>1429</v>
      </c>
      <c r="D336" s="161">
        <v>60000</v>
      </c>
      <c r="E336" s="161">
        <v>465</v>
      </c>
      <c r="F336" s="161">
        <v>129</v>
      </c>
      <c r="G336" s="161" t="s">
        <v>1430</v>
      </c>
      <c r="H336" s="161" t="s">
        <v>183</v>
      </c>
      <c r="I336" s="161">
        <v>67</v>
      </c>
      <c r="J336" s="161" t="s">
        <v>389</v>
      </c>
      <c r="K336" s="21" t="s">
        <v>106</v>
      </c>
      <c r="L336" s="161" t="s">
        <v>3380</v>
      </c>
      <c r="M336" s="21" t="s">
        <v>1332</v>
      </c>
      <c r="N336" s="161" t="s">
        <v>67</v>
      </c>
      <c r="O336" s="21" t="s">
        <v>68</v>
      </c>
      <c r="P336" s="161" t="s">
        <v>109</v>
      </c>
      <c r="Q336" s="21" t="s">
        <v>1323</v>
      </c>
      <c r="R336" s="161" t="s">
        <v>1324</v>
      </c>
      <c r="S336" s="161" t="s">
        <v>1325</v>
      </c>
      <c r="T336" s="161" t="s">
        <v>390</v>
      </c>
      <c r="U336" s="161" t="s">
        <v>73</v>
      </c>
      <c r="V336" s="21" t="s">
        <v>74</v>
      </c>
      <c r="W336" s="21" t="s">
        <v>257</v>
      </c>
      <c r="X336" s="161" t="s">
        <v>487</v>
      </c>
      <c r="Y336" s="161">
        <v>0.03</v>
      </c>
      <c r="Z336" s="161">
        <v>11.5</v>
      </c>
      <c r="AA336" s="161" t="s">
        <v>77</v>
      </c>
      <c r="AB336" s="161" t="s">
        <v>391</v>
      </c>
      <c r="AC336" s="266" t="str">
        <f>HYPERLINK("https://gcsvt.ru/svetodiodnyie-svetilniki/svt-str-mpro-max-155w-65-cri90-5700k-trio/","Ссылка")</f>
        <v>Ссылка</v>
      </c>
      <c r="AD336" s="170" t="s">
        <v>2859</v>
      </c>
    </row>
    <row r="337" spans="1:30" s="161" customFormat="1" ht="39.950000000000003" hidden="1" customHeight="1" outlineLevel="1" x14ac:dyDescent="0.25">
      <c r="A337" s="21"/>
      <c r="B337" s="21" t="s">
        <v>1388</v>
      </c>
      <c r="C337" s="159" t="s">
        <v>1431</v>
      </c>
      <c r="D337" s="161">
        <v>80000</v>
      </c>
      <c r="E337" s="161">
        <v>620</v>
      </c>
      <c r="F337" s="161">
        <v>129</v>
      </c>
      <c r="G337" s="161" t="s">
        <v>1432</v>
      </c>
      <c r="H337" s="161" t="s">
        <v>177</v>
      </c>
      <c r="I337" s="161">
        <v>67</v>
      </c>
      <c r="J337" s="161" t="s">
        <v>389</v>
      </c>
      <c r="K337" s="21" t="s">
        <v>106</v>
      </c>
      <c r="L337" s="161" t="s">
        <v>3380</v>
      </c>
      <c r="M337" s="21" t="s">
        <v>1332</v>
      </c>
      <c r="N337" s="161" t="s">
        <v>67</v>
      </c>
      <c r="O337" s="21" t="s">
        <v>68</v>
      </c>
      <c r="P337" s="161" t="s">
        <v>109</v>
      </c>
      <c r="Q337" s="21" t="s">
        <v>1323</v>
      </c>
      <c r="R337" s="161" t="s">
        <v>1324</v>
      </c>
      <c r="S337" s="161" t="s">
        <v>1325</v>
      </c>
      <c r="T337" s="161" t="s">
        <v>390</v>
      </c>
      <c r="U337" s="161" t="s">
        <v>73</v>
      </c>
      <c r="V337" s="21" t="s">
        <v>74</v>
      </c>
      <c r="W337" s="21" t="s">
        <v>257</v>
      </c>
      <c r="X337" s="161" t="s">
        <v>496</v>
      </c>
      <c r="Y337" s="161">
        <v>0.04</v>
      </c>
      <c r="Z337" s="161">
        <v>15</v>
      </c>
      <c r="AA337" s="161" t="s">
        <v>77</v>
      </c>
      <c r="AB337" s="161" t="s">
        <v>391</v>
      </c>
      <c r="AC337" s="266" t="str">
        <f>HYPERLINK("https://gcsvt.ru/svetodiodnyie-svetilniki/svt-str-mpro-max-155w-20-cri90-5700k-quattro/","Ссылка")</f>
        <v>Ссылка</v>
      </c>
      <c r="AD337" s="170" t="s">
        <v>2859</v>
      </c>
    </row>
    <row r="338" spans="1:30" s="161" customFormat="1" ht="39.950000000000003" hidden="1" customHeight="1" outlineLevel="1" x14ac:dyDescent="0.25">
      <c r="A338" s="21"/>
      <c r="B338" s="21" t="s">
        <v>1388</v>
      </c>
      <c r="C338" s="159" t="s">
        <v>1433</v>
      </c>
      <c r="D338" s="161">
        <v>80000</v>
      </c>
      <c r="E338" s="161">
        <v>620</v>
      </c>
      <c r="F338" s="161">
        <v>129</v>
      </c>
      <c r="G338" s="161" t="s">
        <v>1434</v>
      </c>
      <c r="H338" s="161" t="s">
        <v>180</v>
      </c>
      <c r="I338" s="161">
        <v>67</v>
      </c>
      <c r="J338" s="161" t="s">
        <v>389</v>
      </c>
      <c r="K338" s="21" t="s">
        <v>106</v>
      </c>
      <c r="L338" s="161" t="s">
        <v>3380</v>
      </c>
      <c r="M338" s="21" t="s">
        <v>1332</v>
      </c>
      <c r="N338" s="161" t="s">
        <v>67</v>
      </c>
      <c r="O338" s="21" t="s">
        <v>68</v>
      </c>
      <c r="P338" s="161" t="s">
        <v>109</v>
      </c>
      <c r="Q338" s="21" t="s">
        <v>1323</v>
      </c>
      <c r="R338" s="161" t="s">
        <v>1324</v>
      </c>
      <c r="S338" s="161" t="s">
        <v>1325</v>
      </c>
      <c r="T338" s="161" t="s">
        <v>390</v>
      </c>
      <c r="U338" s="161" t="s">
        <v>73</v>
      </c>
      <c r="V338" s="21" t="s">
        <v>74</v>
      </c>
      <c r="W338" s="21" t="s">
        <v>257</v>
      </c>
      <c r="X338" s="161" t="s">
        <v>496</v>
      </c>
      <c r="Y338" s="161">
        <v>0.04</v>
      </c>
      <c r="Z338" s="161">
        <v>15</v>
      </c>
      <c r="AA338" s="161" t="s">
        <v>77</v>
      </c>
      <c r="AB338" s="161" t="s">
        <v>391</v>
      </c>
      <c r="AC338" s="266" t="str">
        <f>HYPERLINK("https://gcsvt.ru/svetodiodnyie-svetilniki/svt-str-mpro-max-155w-35-cri90-5700k-quattro/","Ссылка")</f>
        <v>Ссылка</v>
      </c>
      <c r="AD338" s="170" t="s">
        <v>2859</v>
      </c>
    </row>
    <row r="339" spans="1:30" s="161" customFormat="1" ht="39.950000000000003" hidden="1" customHeight="1" outlineLevel="1" x14ac:dyDescent="0.25">
      <c r="A339" s="21"/>
      <c r="B339" s="21" t="s">
        <v>1388</v>
      </c>
      <c r="C339" s="159" t="s">
        <v>1435</v>
      </c>
      <c r="D339" s="161">
        <v>80000</v>
      </c>
      <c r="E339" s="161">
        <v>620</v>
      </c>
      <c r="F339" s="161">
        <v>129</v>
      </c>
      <c r="G339" s="161" t="s">
        <v>1436</v>
      </c>
      <c r="H339" s="161" t="s">
        <v>183</v>
      </c>
      <c r="I339" s="161">
        <v>67</v>
      </c>
      <c r="J339" s="161" t="s">
        <v>389</v>
      </c>
      <c r="K339" s="21" t="s">
        <v>106</v>
      </c>
      <c r="L339" s="161" t="s">
        <v>3380</v>
      </c>
      <c r="M339" s="21" t="s">
        <v>1332</v>
      </c>
      <c r="N339" s="161" t="s">
        <v>67</v>
      </c>
      <c r="O339" s="21" t="s">
        <v>68</v>
      </c>
      <c r="P339" s="161" t="s">
        <v>109</v>
      </c>
      <c r="Q339" s="21" t="s">
        <v>1323</v>
      </c>
      <c r="R339" s="161" t="s">
        <v>1324</v>
      </c>
      <c r="S339" s="161" t="s">
        <v>1325</v>
      </c>
      <c r="T339" s="161" t="s">
        <v>390</v>
      </c>
      <c r="U339" s="161" t="s">
        <v>73</v>
      </c>
      <c r="V339" s="21" t="s">
        <v>74</v>
      </c>
      <c r="W339" s="21" t="s">
        <v>257</v>
      </c>
      <c r="X339" s="161" t="s">
        <v>496</v>
      </c>
      <c r="Y339" s="161">
        <v>0.04</v>
      </c>
      <c r="Z339" s="161">
        <v>15</v>
      </c>
      <c r="AA339" s="161" t="s">
        <v>77</v>
      </c>
      <c r="AB339" s="161" t="s">
        <v>391</v>
      </c>
      <c r="AC339" s="266" t="str">
        <f>HYPERLINK("https://gcsvt.ru/svetodiodnyie-svetilniki/svt-str-mpro-max-155w-65-cri90-5700k-quattro/","Ссылка")</f>
        <v>Ссылка</v>
      </c>
      <c r="AD339" s="170" t="s">
        <v>2859</v>
      </c>
    </row>
    <row r="340" spans="1:30" s="161" customFormat="1" ht="39.950000000000003" hidden="1" customHeight="1" outlineLevel="1" x14ac:dyDescent="0.25">
      <c r="A340" s="21"/>
      <c r="B340" s="21" t="s">
        <v>1437</v>
      </c>
      <c r="C340" s="159" t="s">
        <v>1438</v>
      </c>
      <c r="D340" s="161">
        <v>7500</v>
      </c>
      <c r="E340" s="161">
        <v>53</v>
      </c>
      <c r="F340" s="161">
        <v>141</v>
      </c>
      <c r="G340" s="161" t="s">
        <v>1439</v>
      </c>
      <c r="H340" s="161" t="s">
        <v>177</v>
      </c>
      <c r="I340" s="161">
        <v>67</v>
      </c>
      <c r="J340" s="161" t="s">
        <v>105</v>
      </c>
      <c r="K340" s="21" t="s">
        <v>106</v>
      </c>
      <c r="L340" s="161" t="s">
        <v>3380</v>
      </c>
      <c r="M340" s="21" t="s">
        <v>107</v>
      </c>
      <c r="N340" s="161" t="s">
        <v>108</v>
      </c>
      <c r="O340" s="21" t="s">
        <v>68</v>
      </c>
      <c r="P340" s="161" t="s">
        <v>109</v>
      </c>
      <c r="Q340" s="21" t="s">
        <v>1323</v>
      </c>
      <c r="R340" s="161" t="s">
        <v>1440</v>
      </c>
      <c r="S340" s="161" t="s">
        <v>1325</v>
      </c>
      <c r="T340" s="161" t="s">
        <v>174</v>
      </c>
      <c r="U340" s="161" t="s">
        <v>73</v>
      </c>
      <c r="V340" s="21" t="s">
        <v>74</v>
      </c>
      <c r="W340" s="21" t="s">
        <v>75</v>
      </c>
      <c r="X340" s="161" t="s">
        <v>201</v>
      </c>
      <c r="Y340" s="161">
        <v>0.01</v>
      </c>
      <c r="Z340" s="161">
        <v>2</v>
      </c>
      <c r="AA340" s="161" t="s">
        <v>144</v>
      </c>
      <c r="AB340" s="161" t="s">
        <v>114</v>
      </c>
      <c r="AC340" s="266" t="str">
        <f>HYPERLINK("https://gcsvt.ru/svetodiodnyie-svetilniki/svt-str-mpro-53w-20-cri80-5700k/","Ссылка")</f>
        <v>Ссылка</v>
      </c>
      <c r="AD340" s="170" t="s">
        <v>2859</v>
      </c>
    </row>
    <row r="341" spans="1:30" s="161" customFormat="1" ht="39.950000000000003" hidden="1" customHeight="1" outlineLevel="1" x14ac:dyDescent="0.25">
      <c r="A341" s="21"/>
      <c r="B341" s="21" t="s">
        <v>1437</v>
      </c>
      <c r="C341" s="159" t="s">
        <v>1441</v>
      </c>
      <c r="D341" s="161">
        <v>7500</v>
      </c>
      <c r="E341" s="161">
        <v>53</v>
      </c>
      <c r="F341" s="161">
        <v>141</v>
      </c>
      <c r="G341" s="161" t="s">
        <v>1442</v>
      </c>
      <c r="H341" s="161" t="s">
        <v>180</v>
      </c>
      <c r="I341" s="161">
        <v>67</v>
      </c>
      <c r="J341" s="161" t="s">
        <v>105</v>
      </c>
      <c r="K341" s="21" t="s">
        <v>106</v>
      </c>
      <c r="L341" s="161" t="s">
        <v>3380</v>
      </c>
      <c r="M341" s="21" t="s">
        <v>107</v>
      </c>
      <c r="N341" s="161" t="s">
        <v>108</v>
      </c>
      <c r="O341" s="21" t="s">
        <v>68</v>
      </c>
      <c r="P341" s="161" t="s">
        <v>109</v>
      </c>
      <c r="Q341" s="21" t="s">
        <v>1323</v>
      </c>
      <c r="R341" s="161" t="s">
        <v>1440</v>
      </c>
      <c r="S341" s="161" t="s">
        <v>1325</v>
      </c>
      <c r="T341" s="161" t="s">
        <v>174</v>
      </c>
      <c r="U341" s="161" t="s">
        <v>73</v>
      </c>
      <c r="V341" s="21" t="s">
        <v>74</v>
      </c>
      <c r="W341" s="21" t="s">
        <v>75</v>
      </c>
      <c r="X341" s="161" t="s">
        <v>201</v>
      </c>
      <c r="Y341" s="161">
        <v>0.01</v>
      </c>
      <c r="Z341" s="161">
        <v>2</v>
      </c>
      <c r="AA341" s="161" t="s">
        <v>144</v>
      </c>
      <c r="AB341" s="161" t="s">
        <v>114</v>
      </c>
      <c r="AC341" s="266" t="str">
        <f>HYPERLINK("https://gcsvt.ru/svetodiodnyie-svetilniki/svt-str-mpro-53w-35-cri80-5700k/","Ссылка")</f>
        <v>Ссылка</v>
      </c>
      <c r="AD341" s="170" t="s">
        <v>2859</v>
      </c>
    </row>
    <row r="342" spans="1:30" s="161" customFormat="1" ht="39.950000000000003" hidden="1" customHeight="1" outlineLevel="1" x14ac:dyDescent="0.25">
      <c r="A342" s="21"/>
      <c r="B342" s="21" t="s">
        <v>1437</v>
      </c>
      <c r="C342" s="159" t="s">
        <v>1443</v>
      </c>
      <c r="D342" s="161">
        <v>7500</v>
      </c>
      <c r="E342" s="161">
        <v>53</v>
      </c>
      <c r="F342" s="161">
        <v>141</v>
      </c>
      <c r="G342" s="161" t="s">
        <v>1444</v>
      </c>
      <c r="H342" s="161" t="s">
        <v>183</v>
      </c>
      <c r="I342" s="161">
        <v>67</v>
      </c>
      <c r="J342" s="161" t="s">
        <v>105</v>
      </c>
      <c r="K342" s="21" t="s">
        <v>106</v>
      </c>
      <c r="L342" s="161" t="s">
        <v>3380</v>
      </c>
      <c r="M342" s="21" t="s">
        <v>107</v>
      </c>
      <c r="N342" s="161" t="s">
        <v>108</v>
      </c>
      <c r="O342" s="21" t="s">
        <v>68</v>
      </c>
      <c r="P342" s="161" t="s">
        <v>109</v>
      </c>
      <c r="Q342" s="21" t="s">
        <v>1323</v>
      </c>
      <c r="R342" s="161" t="s">
        <v>1440</v>
      </c>
      <c r="S342" s="161" t="s">
        <v>1325</v>
      </c>
      <c r="T342" s="161" t="s">
        <v>174</v>
      </c>
      <c r="U342" s="161" t="s">
        <v>73</v>
      </c>
      <c r="V342" s="21" t="s">
        <v>74</v>
      </c>
      <c r="W342" s="21" t="s">
        <v>75</v>
      </c>
      <c r="X342" s="161" t="s">
        <v>201</v>
      </c>
      <c r="Y342" s="161">
        <v>0.01</v>
      </c>
      <c r="Z342" s="161">
        <v>2</v>
      </c>
      <c r="AA342" s="161" t="s">
        <v>144</v>
      </c>
      <c r="AB342" s="161" t="s">
        <v>114</v>
      </c>
      <c r="AC342" s="266" t="str">
        <f>HYPERLINK("https://gcsvt.ru/svetodiodnyie-svetilniki/svt-str-mpro-53w-65-cri80-5700k/","Ссылка")</f>
        <v>Ссылка</v>
      </c>
      <c r="AD342" s="170" t="s">
        <v>2859</v>
      </c>
    </row>
    <row r="343" spans="1:30" s="161" customFormat="1" ht="39.950000000000003" hidden="1" customHeight="1" outlineLevel="1" x14ac:dyDescent="0.25">
      <c r="A343" s="21"/>
      <c r="B343" s="21" t="s">
        <v>1437</v>
      </c>
      <c r="C343" s="159" t="s">
        <v>1445</v>
      </c>
      <c r="D343" s="161">
        <v>11200</v>
      </c>
      <c r="E343" s="161">
        <v>79</v>
      </c>
      <c r="F343" s="161">
        <v>141</v>
      </c>
      <c r="G343" s="161" t="s">
        <v>1446</v>
      </c>
      <c r="H343" s="161" t="s">
        <v>177</v>
      </c>
      <c r="I343" s="161">
        <v>67</v>
      </c>
      <c r="J343" s="161" t="s">
        <v>105</v>
      </c>
      <c r="K343" s="21" t="s">
        <v>106</v>
      </c>
      <c r="L343" s="161" t="s">
        <v>3380</v>
      </c>
      <c r="M343" s="21" t="s">
        <v>1332</v>
      </c>
      <c r="N343" s="161" t="s">
        <v>67</v>
      </c>
      <c r="O343" s="21" t="s">
        <v>68</v>
      </c>
      <c r="P343" s="161" t="s">
        <v>109</v>
      </c>
      <c r="Q343" s="21" t="s">
        <v>1323</v>
      </c>
      <c r="R343" s="161" t="s">
        <v>1440</v>
      </c>
      <c r="S343" s="161" t="s">
        <v>1325</v>
      </c>
      <c r="T343" s="161" t="s">
        <v>174</v>
      </c>
      <c r="U343" s="161" t="s">
        <v>73</v>
      </c>
      <c r="V343" s="21" t="s">
        <v>74</v>
      </c>
      <c r="W343" s="21" t="s">
        <v>257</v>
      </c>
      <c r="X343" s="161" t="s">
        <v>220</v>
      </c>
      <c r="Y343" s="161">
        <v>0.01</v>
      </c>
      <c r="Z343" s="161">
        <v>2.5</v>
      </c>
      <c r="AA343" s="161" t="s">
        <v>77</v>
      </c>
      <c r="AB343" s="161" t="s">
        <v>114</v>
      </c>
      <c r="AC343" s="266" t="str">
        <f>HYPERLINK("https://gcsvt.ru/svetodiodnyie-svetilniki/svt-str-mpro-79w-20-cri80-5700k/","Ссылка")</f>
        <v>Ссылка</v>
      </c>
      <c r="AD343" s="170" t="s">
        <v>2859</v>
      </c>
    </row>
    <row r="344" spans="1:30" s="161" customFormat="1" ht="39.950000000000003" hidden="1" customHeight="1" outlineLevel="1" x14ac:dyDescent="0.25">
      <c r="A344" s="21"/>
      <c r="B344" s="21" t="s">
        <v>1437</v>
      </c>
      <c r="C344" s="159" t="s">
        <v>1447</v>
      </c>
      <c r="D344" s="161">
        <v>11200</v>
      </c>
      <c r="E344" s="161">
        <v>79</v>
      </c>
      <c r="F344" s="161">
        <v>141</v>
      </c>
      <c r="G344" s="161" t="s">
        <v>1448</v>
      </c>
      <c r="H344" s="161" t="s">
        <v>180</v>
      </c>
      <c r="I344" s="161">
        <v>67</v>
      </c>
      <c r="J344" s="161" t="s">
        <v>105</v>
      </c>
      <c r="K344" s="21" t="s">
        <v>106</v>
      </c>
      <c r="L344" s="161" t="s">
        <v>3380</v>
      </c>
      <c r="M344" s="21" t="s">
        <v>1332</v>
      </c>
      <c r="N344" s="161" t="s">
        <v>67</v>
      </c>
      <c r="O344" s="21" t="s">
        <v>68</v>
      </c>
      <c r="P344" s="161" t="s">
        <v>109</v>
      </c>
      <c r="Q344" s="21" t="s">
        <v>1323</v>
      </c>
      <c r="R344" s="161" t="s">
        <v>1440</v>
      </c>
      <c r="S344" s="161" t="s">
        <v>1325</v>
      </c>
      <c r="T344" s="161" t="s">
        <v>174</v>
      </c>
      <c r="U344" s="161" t="s">
        <v>73</v>
      </c>
      <c r="V344" s="21" t="s">
        <v>74</v>
      </c>
      <c r="W344" s="21" t="s">
        <v>257</v>
      </c>
      <c r="X344" s="161" t="s">
        <v>220</v>
      </c>
      <c r="Y344" s="161">
        <v>0.01</v>
      </c>
      <c r="Z344" s="161">
        <v>2.5</v>
      </c>
      <c r="AA344" s="161" t="s">
        <v>77</v>
      </c>
      <c r="AB344" s="161" t="s">
        <v>114</v>
      </c>
      <c r="AC344" s="266" t="str">
        <f>HYPERLINK("https://gcsvt.ru/svetodiodnyie-svetilniki/svt-str-mpro-79w-35-cri80-5700k/","Ссылка")</f>
        <v>Ссылка</v>
      </c>
      <c r="AD344" s="170" t="s">
        <v>2859</v>
      </c>
    </row>
    <row r="345" spans="1:30" s="161" customFormat="1" ht="39.950000000000003" hidden="1" customHeight="1" outlineLevel="1" x14ac:dyDescent="0.25">
      <c r="A345" s="21"/>
      <c r="B345" s="21" t="s">
        <v>1437</v>
      </c>
      <c r="C345" s="159" t="s">
        <v>1449</v>
      </c>
      <c r="D345" s="161">
        <v>11200</v>
      </c>
      <c r="E345" s="161">
        <v>79</v>
      </c>
      <c r="F345" s="161">
        <v>141</v>
      </c>
      <c r="G345" s="161" t="s">
        <v>1450</v>
      </c>
      <c r="H345" s="161" t="s">
        <v>183</v>
      </c>
      <c r="I345" s="161">
        <v>67</v>
      </c>
      <c r="J345" s="161" t="s">
        <v>105</v>
      </c>
      <c r="K345" s="21" t="s">
        <v>106</v>
      </c>
      <c r="L345" s="161" t="s">
        <v>3380</v>
      </c>
      <c r="M345" s="21" t="s">
        <v>1332</v>
      </c>
      <c r="N345" s="161" t="s">
        <v>67</v>
      </c>
      <c r="O345" s="21" t="s">
        <v>68</v>
      </c>
      <c r="P345" s="161" t="s">
        <v>109</v>
      </c>
      <c r="Q345" s="21" t="s">
        <v>1323</v>
      </c>
      <c r="R345" s="161" t="s">
        <v>1440</v>
      </c>
      <c r="S345" s="161" t="s">
        <v>1325</v>
      </c>
      <c r="T345" s="161" t="s">
        <v>174</v>
      </c>
      <c r="U345" s="161" t="s">
        <v>73</v>
      </c>
      <c r="V345" s="21" t="s">
        <v>74</v>
      </c>
      <c r="W345" s="21" t="s">
        <v>257</v>
      </c>
      <c r="X345" s="161" t="s">
        <v>220</v>
      </c>
      <c r="Y345" s="161">
        <v>0.01</v>
      </c>
      <c r="Z345" s="161">
        <v>2.5</v>
      </c>
      <c r="AA345" s="161" t="s">
        <v>77</v>
      </c>
      <c r="AB345" s="161" t="s">
        <v>114</v>
      </c>
      <c r="AC345" s="266" t="str">
        <f>HYPERLINK("https://gcsvt.ru/svetodiodnyie-svetilniki/svt-str-mpro-79w-65-cri80-5700k/","Ссылка")</f>
        <v>Ссылка</v>
      </c>
      <c r="AD345" s="170" t="s">
        <v>2859</v>
      </c>
    </row>
    <row r="346" spans="1:30" s="161" customFormat="1" ht="39.950000000000003" hidden="1" customHeight="1" outlineLevel="1" x14ac:dyDescent="0.25">
      <c r="A346" s="21"/>
      <c r="B346" s="21" t="s">
        <v>1437</v>
      </c>
      <c r="C346" s="159" t="s">
        <v>1451</v>
      </c>
      <c r="D346" s="161">
        <v>15000</v>
      </c>
      <c r="E346" s="161">
        <v>102</v>
      </c>
      <c r="F346" s="161">
        <v>147</v>
      </c>
      <c r="G346" s="161" t="s">
        <v>1452</v>
      </c>
      <c r="H346" s="161" t="s">
        <v>177</v>
      </c>
      <c r="I346" s="161">
        <v>67</v>
      </c>
      <c r="J346" s="161" t="s">
        <v>105</v>
      </c>
      <c r="K346" s="21" t="s">
        <v>106</v>
      </c>
      <c r="L346" s="161" t="s">
        <v>3380</v>
      </c>
      <c r="M346" s="21" t="s">
        <v>1332</v>
      </c>
      <c r="N346" s="161" t="s">
        <v>67</v>
      </c>
      <c r="O346" s="21" t="s">
        <v>68</v>
      </c>
      <c r="P346" s="161" t="s">
        <v>109</v>
      </c>
      <c r="Q346" s="21" t="s">
        <v>1323</v>
      </c>
      <c r="R346" s="161" t="s">
        <v>1440</v>
      </c>
      <c r="S346" s="161" t="s">
        <v>1325</v>
      </c>
      <c r="T346" s="161" t="s">
        <v>174</v>
      </c>
      <c r="U346" s="161" t="s">
        <v>73</v>
      </c>
      <c r="V346" s="21" t="s">
        <v>74</v>
      </c>
      <c r="W346" s="21" t="s">
        <v>257</v>
      </c>
      <c r="X346" s="161" t="s">
        <v>240</v>
      </c>
      <c r="Y346" s="161">
        <v>0.01</v>
      </c>
      <c r="Z346" s="161">
        <v>2.9</v>
      </c>
      <c r="AA346" s="161" t="s">
        <v>77</v>
      </c>
      <c r="AB346" s="161" t="s">
        <v>114</v>
      </c>
      <c r="AC346" s="266" t="str">
        <f>HYPERLINK("https://gcsvt.ru/svetodiodnyie-svetilniki/svt-str-mpro-102w-20-cri80-5700k/","Ссылка")</f>
        <v>Ссылка</v>
      </c>
      <c r="AD346" s="170" t="s">
        <v>2859</v>
      </c>
    </row>
    <row r="347" spans="1:30" s="161" customFormat="1" ht="39.950000000000003" hidden="1" customHeight="1" outlineLevel="1" x14ac:dyDescent="0.25">
      <c r="A347" s="21"/>
      <c r="B347" s="21" t="s">
        <v>1437</v>
      </c>
      <c r="C347" s="159" t="s">
        <v>1453</v>
      </c>
      <c r="D347" s="161">
        <v>15000</v>
      </c>
      <c r="E347" s="161">
        <v>102</v>
      </c>
      <c r="F347" s="161">
        <v>147</v>
      </c>
      <c r="G347" s="161" t="s">
        <v>1454</v>
      </c>
      <c r="H347" s="161" t="s">
        <v>180</v>
      </c>
      <c r="I347" s="161">
        <v>67</v>
      </c>
      <c r="J347" s="161" t="s">
        <v>105</v>
      </c>
      <c r="K347" s="21" t="s">
        <v>106</v>
      </c>
      <c r="L347" s="161" t="s">
        <v>3380</v>
      </c>
      <c r="M347" s="21" t="s">
        <v>1332</v>
      </c>
      <c r="N347" s="161" t="s">
        <v>67</v>
      </c>
      <c r="O347" s="21" t="s">
        <v>68</v>
      </c>
      <c r="P347" s="161" t="s">
        <v>109</v>
      </c>
      <c r="Q347" s="21" t="s">
        <v>1323</v>
      </c>
      <c r="R347" s="161" t="s">
        <v>1440</v>
      </c>
      <c r="S347" s="161" t="s">
        <v>1325</v>
      </c>
      <c r="T347" s="161" t="s">
        <v>174</v>
      </c>
      <c r="U347" s="161" t="s">
        <v>73</v>
      </c>
      <c r="V347" s="21" t="s">
        <v>74</v>
      </c>
      <c r="W347" s="21" t="s">
        <v>257</v>
      </c>
      <c r="X347" s="161" t="s">
        <v>240</v>
      </c>
      <c r="Y347" s="161">
        <v>0.01</v>
      </c>
      <c r="Z347" s="161">
        <v>2.9</v>
      </c>
      <c r="AA347" s="161" t="s">
        <v>77</v>
      </c>
      <c r="AB347" s="161" t="s">
        <v>114</v>
      </c>
      <c r="AC347" s="266" t="str">
        <f>HYPERLINK("https://gcsvt.ru/svetodiodnyie-svetilniki/svt-str-mpro-102w-35-cri80-5700k/","Ссылка")</f>
        <v>Ссылка</v>
      </c>
      <c r="AD347" s="170" t="s">
        <v>2859</v>
      </c>
    </row>
    <row r="348" spans="1:30" s="161" customFormat="1" ht="39.950000000000003" hidden="1" customHeight="1" outlineLevel="1" x14ac:dyDescent="0.25">
      <c r="A348" s="21"/>
      <c r="B348" s="21" t="s">
        <v>1437</v>
      </c>
      <c r="C348" s="159" t="s">
        <v>1455</v>
      </c>
      <c r="D348" s="161">
        <v>15000</v>
      </c>
      <c r="E348" s="161">
        <v>102</v>
      </c>
      <c r="F348" s="161">
        <v>147</v>
      </c>
      <c r="G348" s="161" t="s">
        <v>1456</v>
      </c>
      <c r="H348" s="161" t="s">
        <v>183</v>
      </c>
      <c r="I348" s="161">
        <v>67</v>
      </c>
      <c r="J348" s="161" t="s">
        <v>105</v>
      </c>
      <c r="K348" s="21" t="s">
        <v>106</v>
      </c>
      <c r="L348" s="161" t="s">
        <v>3380</v>
      </c>
      <c r="M348" s="21" t="s">
        <v>1332</v>
      </c>
      <c r="N348" s="161" t="s">
        <v>67</v>
      </c>
      <c r="O348" s="21" t="s">
        <v>68</v>
      </c>
      <c r="P348" s="161" t="s">
        <v>109</v>
      </c>
      <c r="Q348" s="21" t="s">
        <v>1323</v>
      </c>
      <c r="R348" s="161" t="s">
        <v>1440</v>
      </c>
      <c r="S348" s="161" t="s">
        <v>1325</v>
      </c>
      <c r="T348" s="161" t="s">
        <v>174</v>
      </c>
      <c r="U348" s="161" t="s">
        <v>73</v>
      </c>
      <c r="V348" s="21" t="s">
        <v>74</v>
      </c>
      <c r="W348" s="21" t="s">
        <v>257</v>
      </c>
      <c r="X348" s="161" t="s">
        <v>240</v>
      </c>
      <c r="Y348" s="161">
        <v>0.01</v>
      </c>
      <c r="Z348" s="161">
        <v>2.9</v>
      </c>
      <c r="AA348" s="161" t="s">
        <v>77</v>
      </c>
      <c r="AB348" s="161" t="s">
        <v>114</v>
      </c>
      <c r="AC348" s="266" t="str">
        <f>HYPERLINK("https://gcsvt.ru/svetodiodnyie-svetilniki/svt-str-mpro-102w-65-cri80-5700k/","Ссылка")</f>
        <v>Ссылка</v>
      </c>
      <c r="AD348" s="170" t="s">
        <v>2859</v>
      </c>
    </row>
    <row r="349" spans="1:30" s="161" customFormat="1" ht="39.950000000000003" hidden="1" customHeight="1" outlineLevel="1" x14ac:dyDescent="0.25">
      <c r="A349" s="21"/>
      <c r="B349" s="21" t="s">
        <v>1437</v>
      </c>
      <c r="C349" s="159" t="s">
        <v>1457</v>
      </c>
      <c r="D349" s="161">
        <v>22400</v>
      </c>
      <c r="E349" s="161">
        <v>158</v>
      </c>
      <c r="F349" s="161">
        <v>141</v>
      </c>
      <c r="G349" s="161" t="s">
        <v>1458</v>
      </c>
      <c r="H349" s="161" t="s">
        <v>177</v>
      </c>
      <c r="I349" s="161">
        <v>67</v>
      </c>
      <c r="J349" s="161" t="s">
        <v>105</v>
      </c>
      <c r="K349" s="21" t="s">
        <v>106</v>
      </c>
      <c r="L349" s="161" t="s">
        <v>3380</v>
      </c>
      <c r="M349" s="21" t="s">
        <v>1332</v>
      </c>
      <c r="N349" s="161" t="s">
        <v>67</v>
      </c>
      <c r="O349" s="21" t="s">
        <v>68</v>
      </c>
      <c r="P349" s="161" t="s">
        <v>109</v>
      </c>
      <c r="Q349" s="21" t="s">
        <v>1323</v>
      </c>
      <c r="R349" s="161" t="s">
        <v>1440</v>
      </c>
      <c r="S349" s="161" t="s">
        <v>1325</v>
      </c>
      <c r="T349" s="161" t="s">
        <v>174</v>
      </c>
      <c r="U349" s="161" t="s">
        <v>73</v>
      </c>
      <c r="V349" s="21" t="s">
        <v>74</v>
      </c>
      <c r="W349" s="21" t="s">
        <v>257</v>
      </c>
      <c r="X349" s="161" t="s">
        <v>285</v>
      </c>
      <c r="Y349" s="161">
        <v>0.02</v>
      </c>
      <c r="Z349" s="161">
        <v>6.5</v>
      </c>
      <c r="AA349" s="161" t="s">
        <v>77</v>
      </c>
      <c r="AB349" s="161" t="s">
        <v>114</v>
      </c>
      <c r="AC349" s="266" t="str">
        <f>HYPERLINK("https://gcsvt.ru/svetodiodnyie-svetilniki/svt-str-mpro-79w-20-cri80-5700k-duo/","Ссылка")</f>
        <v>Ссылка</v>
      </c>
      <c r="AD349" s="170" t="s">
        <v>2859</v>
      </c>
    </row>
    <row r="350" spans="1:30" s="161" customFormat="1" ht="39.950000000000003" hidden="1" customHeight="1" outlineLevel="1" x14ac:dyDescent="0.25">
      <c r="A350" s="21"/>
      <c r="B350" s="21" t="s">
        <v>1437</v>
      </c>
      <c r="C350" s="159" t="s">
        <v>1459</v>
      </c>
      <c r="D350" s="161">
        <v>22400</v>
      </c>
      <c r="E350" s="161">
        <v>158</v>
      </c>
      <c r="F350" s="161">
        <v>141</v>
      </c>
      <c r="G350" s="161" t="s">
        <v>1460</v>
      </c>
      <c r="H350" s="161" t="s">
        <v>180</v>
      </c>
      <c r="I350" s="161">
        <v>67</v>
      </c>
      <c r="J350" s="161" t="s">
        <v>105</v>
      </c>
      <c r="K350" s="21" t="s">
        <v>106</v>
      </c>
      <c r="L350" s="161" t="s">
        <v>3380</v>
      </c>
      <c r="M350" s="21" t="s">
        <v>1332</v>
      </c>
      <c r="N350" s="161" t="s">
        <v>67</v>
      </c>
      <c r="O350" s="21" t="s">
        <v>68</v>
      </c>
      <c r="P350" s="161" t="s">
        <v>109</v>
      </c>
      <c r="Q350" s="21" t="s">
        <v>1323</v>
      </c>
      <c r="R350" s="161" t="s">
        <v>1440</v>
      </c>
      <c r="S350" s="161" t="s">
        <v>1325</v>
      </c>
      <c r="T350" s="161" t="s">
        <v>174</v>
      </c>
      <c r="U350" s="161" t="s">
        <v>73</v>
      </c>
      <c r="V350" s="21" t="s">
        <v>74</v>
      </c>
      <c r="W350" s="21" t="s">
        <v>257</v>
      </c>
      <c r="X350" s="161" t="s">
        <v>285</v>
      </c>
      <c r="Y350" s="161">
        <v>0.02</v>
      </c>
      <c r="Z350" s="161">
        <v>6.5</v>
      </c>
      <c r="AA350" s="161" t="s">
        <v>77</v>
      </c>
      <c r="AB350" s="161" t="s">
        <v>114</v>
      </c>
      <c r="AC350" s="266" t="str">
        <f>HYPERLINK("https://gcsvt.ru/svetodiodnyie-svetilniki/svt-str-mpro-79w-35-cri80-5700k-duo/","Ссылка")</f>
        <v>Ссылка</v>
      </c>
      <c r="AD350" s="170" t="s">
        <v>2859</v>
      </c>
    </row>
    <row r="351" spans="1:30" s="161" customFormat="1" ht="39.950000000000003" hidden="1" customHeight="1" outlineLevel="1" x14ac:dyDescent="0.25">
      <c r="A351" s="21"/>
      <c r="B351" s="21" t="s">
        <v>1437</v>
      </c>
      <c r="C351" s="159" t="s">
        <v>1461</v>
      </c>
      <c r="D351" s="161">
        <v>22400</v>
      </c>
      <c r="E351" s="161">
        <v>158</v>
      </c>
      <c r="F351" s="161">
        <v>141</v>
      </c>
      <c r="G351" s="161" t="s">
        <v>1462</v>
      </c>
      <c r="H351" s="161" t="s">
        <v>183</v>
      </c>
      <c r="I351" s="161">
        <v>67</v>
      </c>
      <c r="J351" s="161" t="s">
        <v>105</v>
      </c>
      <c r="K351" s="21" t="s">
        <v>106</v>
      </c>
      <c r="L351" s="161" t="s">
        <v>3380</v>
      </c>
      <c r="M351" s="21" t="s">
        <v>1332</v>
      </c>
      <c r="N351" s="161" t="s">
        <v>67</v>
      </c>
      <c r="O351" s="21" t="s">
        <v>68</v>
      </c>
      <c r="P351" s="161" t="s">
        <v>109</v>
      </c>
      <c r="Q351" s="21" t="s">
        <v>1323</v>
      </c>
      <c r="R351" s="161" t="s">
        <v>1440</v>
      </c>
      <c r="S351" s="161" t="s">
        <v>1325</v>
      </c>
      <c r="T351" s="161" t="s">
        <v>174</v>
      </c>
      <c r="U351" s="161" t="s">
        <v>73</v>
      </c>
      <c r="V351" s="21" t="s">
        <v>74</v>
      </c>
      <c r="W351" s="21" t="s">
        <v>257</v>
      </c>
      <c r="X351" s="161" t="s">
        <v>285</v>
      </c>
      <c r="Y351" s="161">
        <v>0.02</v>
      </c>
      <c r="Z351" s="161">
        <v>6.5</v>
      </c>
      <c r="AA351" s="161" t="s">
        <v>77</v>
      </c>
      <c r="AB351" s="161" t="s">
        <v>114</v>
      </c>
      <c r="AC351" s="266" t="str">
        <f>HYPERLINK("https://gcsvt.ru/svetodiodnyie-svetilniki/svt-str-mpro-79w-65-cri80-5700k-duo/","Ссылка")</f>
        <v>Ссылка</v>
      </c>
      <c r="AD351" s="170" t="s">
        <v>2859</v>
      </c>
    </row>
    <row r="352" spans="1:30" s="161" customFormat="1" ht="39.950000000000003" hidden="1" customHeight="1" outlineLevel="1" x14ac:dyDescent="0.25">
      <c r="A352" s="21"/>
      <c r="B352" s="21" t="s">
        <v>1437</v>
      </c>
      <c r="C352" s="159" t="s">
        <v>1463</v>
      </c>
      <c r="D352" s="161">
        <v>33600</v>
      </c>
      <c r="E352" s="161">
        <v>237</v>
      </c>
      <c r="F352" s="161">
        <v>141</v>
      </c>
      <c r="G352" s="161" t="s">
        <v>1464</v>
      </c>
      <c r="H352" s="161" t="s">
        <v>177</v>
      </c>
      <c r="I352" s="161">
        <v>67</v>
      </c>
      <c r="J352" s="161" t="s">
        <v>105</v>
      </c>
      <c r="K352" s="21" t="s">
        <v>106</v>
      </c>
      <c r="L352" s="161" t="s">
        <v>3380</v>
      </c>
      <c r="M352" s="21" t="s">
        <v>1332</v>
      </c>
      <c r="N352" s="161" t="s">
        <v>67</v>
      </c>
      <c r="O352" s="21" t="s">
        <v>68</v>
      </c>
      <c r="P352" s="161" t="s">
        <v>109</v>
      </c>
      <c r="Q352" s="21" t="s">
        <v>1323</v>
      </c>
      <c r="R352" s="161" t="s">
        <v>1440</v>
      </c>
      <c r="S352" s="161" t="s">
        <v>1325</v>
      </c>
      <c r="T352" s="161" t="s">
        <v>174</v>
      </c>
      <c r="U352" s="161" t="s">
        <v>73</v>
      </c>
      <c r="V352" s="21" t="s">
        <v>74</v>
      </c>
      <c r="W352" s="21" t="s">
        <v>257</v>
      </c>
      <c r="X352" s="161" t="s">
        <v>323</v>
      </c>
      <c r="Y352" s="161">
        <v>0.03</v>
      </c>
      <c r="Z352" s="161">
        <v>9</v>
      </c>
      <c r="AA352" s="161" t="s">
        <v>77</v>
      </c>
      <c r="AB352" s="161" t="s">
        <v>114</v>
      </c>
      <c r="AC352" s="266" t="str">
        <f>HYPERLINK("https://gcsvt.ru/svetodiodnyie-svetilniki/svt-str-mpro-79w-20-cri80-5700k-trio/","Ссылка")</f>
        <v>Ссылка</v>
      </c>
      <c r="AD352" s="170" t="s">
        <v>2859</v>
      </c>
    </row>
    <row r="353" spans="1:30" s="161" customFormat="1" ht="39.950000000000003" hidden="1" customHeight="1" outlineLevel="1" x14ac:dyDescent="0.25">
      <c r="A353" s="21"/>
      <c r="B353" s="21" t="s">
        <v>1437</v>
      </c>
      <c r="C353" s="159" t="s">
        <v>1465</v>
      </c>
      <c r="D353" s="161">
        <v>33600</v>
      </c>
      <c r="E353" s="161">
        <v>237</v>
      </c>
      <c r="F353" s="161">
        <v>141</v>
      </c>
      <c r="G353" s="161" t="s">
        <v>1466</v>
      </c>
      <c r="H353" s="161" t="s">
        <v>180</v>
      </c>
      <c r="I353" s="161">
        <v>67</v>
      </c>
      <c r="J353" s="161" t="s">
        <v>105</v>
      </c>
      <c r="K353" s="21" t="s">
        <v>106</v>
      </c>
      <c r="L353" s="161" t="s">
        <v>3380</v>
      </c>
      <c r="M353" s="21" t="s">
        <v>1332</v>
      </c>
      <c r="N353" s="161" t="s">
        <v>67</v>
      </c>
      <c r="O353" s="21" t="s">
        <v>68</v>
      </c>
      <c r="P353" s="161" t="s">
        <v>109</v>
      </c>
      <c r="Q353" s="21" t="s">
        <v>1323</v>
      </c>
      <c r="R353" s="161" t="s">
        <v>1440</v>
      </c>
      <c r="S353" s="161" t="s">
        <v>1325</v>
      </c>
      <c r="T353" s="161" t="s">
        <v>174</v>
      </c>
      <c r="U353" s="161" t="s">
        <v>73</v>
      </c>
      <c r="V353" s="21" t="s">
        <v>74</v>
      </c>
      <c r="W353" s="21" t="s">
        <v>257</v>
      </c>
      <c r="X353" s="161" t="s">
        <v>323</v>
      </c>
      <c r="Y353" s="161">
        <v>0.03</v>
      </c>
      <c r="Z353" s="161">
        <v>9</v>
      </c>
      <c r="AA353" s="161" t="s">
        <v>77</v>
      </c>
      <c r="AB353" s="161" t="s">
        <v>114</v>
      </c>
      <c r="AC353" s="266" t="str">
        <f>HYPERLINK("https://gcsvt.ru/svetodiodnyie-svetilniki/svt-str-mpro-79w-35-cri80-5700k-trio/","Ссылка")</f>
        <v>Ссылка</v>
      </c>
      <c r="AD353" s="170" t="s">
        <v>2859</v>
      </c>
    </row>
    <row r="354" spans="1:30" s="161" customFormat="1" ht="39.950000000000003" hidden="1" customHeight="1" outlineLevel="1" x14ac:dyDescent="0.25">
      <c r="A354" s="21"/>
      <c r="B354" s="21" t="s">
        <v>1437</v>
      </c>
      <c r="C354" s="159" t="s">
        <v>1467</v>
      </c>
      <c r="D354" s="161">
        <v>33600</v>
      </c>
      <c r="E354" s="161">
        <v>237</v>
      </c>
      <c r="F354" s="161">
        <v>141</v>
      </c>
      <c r="G354" s="161" t="s">
        <v>1468</v>
      </c>
      <c r="H354" s="161" t="s">
        <v>183</v>
      </c>
      <c r="I354" s="161">
        <v>67</v>
      </c>
      <c r="J354" s="161" t="s">
        <v>105</v>
      </c>
      <c r="K354" s="21" t="s">
        <v>106</v>
      </c>
      <c r="L354" s="161" t="s">
        <v>3380</v>
      </c>
      <c r="M354" s="21" t="s">
        <v>1332</v>
      </c>
      <c r="N354" s="161" t="s">
        <v>67</v>
      </c>
      <c r="O354" s="21" t="s">
        <v>68</v>
      </c>
      <c r="P354" s="161" t="s">
        <v>109</v>
      </c>
      <c r="Q354" s="21" t="s">
        <v>1323</v>
      </c>
      <c r="R354" s="161" t="s">
        <v>1440</v>
      </c>
      <c r="S354" s="161" t="s">
        <v>1325</v>
      </c>
      <c r="T354" s="161" t="s">
        <v>174</v>
      </c>
      <c r="U354" s="161" t="s">
        <v>73</v>
      </c>
      <c r="V354" s="21" t="s">
        <v>74</v>
      </c>
      <c r="W354" s="21" t="s">
        <v>257</v>
      </c>
      <c r="X354" s="161" t="s">
        <v>323</v>
      </c>
      <c r="Y354" s="161">
        <v>0.03</v>
      </c>
      <c r="Z354" s="161">
        <v>9</v>
      </c>
      <c r="AA354" s="161" t="s">
        <v>77</v>
      </c>
      <c r="AB354" s="161" t="s">
        <v>114</v>
      </c>
      <c r="AC354" s="266" t="str">
        <f>HYPERLINK("https://gcsvt.ru/svetodiodnyie-svetilniki/svt-str-mpro-79w-65-cri80-5700k-trio/","Ссылка")</f>
        <v>Ссылка</v>
      </c>
      <c r="AD354" s="170" t="s">
        <v>2859</v>
      </c>
    </row>
    <row r="355" spans="1:30" s="161" customFormat="1" ht="39.950000000000003" hidden="1" customHeight="1" outlineLevel="1" x14ac:dyDescent="0.25">
      <c r="A355" s="21"/>
      <c r="B355" s="21" t="s">
        <v>1437</v>
      </c>
      <c r="C355" s="159" t="s">
        <v>1469</v>
      </c>
      <c r="D355" s="161">
        <v>30000</v>
      </c>
      <c r="E355" s="161">
        <v>204</v>
      </c>
      <c r="F355" s="161">
        <v>147</v>
      </c>
      <c r="G355" s="161" t="s">
        <v>1470</v>
      </c>
      <c r="H355" s="161" t="s">
        <v>177</v>
      </c>
      <c r="I355" s="161">
        <v>67</v>
      </c>
      <c r="J355" s="161" t="s">
        <v>105</v>
      </c>
      <c r="K355" s="21" t="s">
        <v>106</v>
      </c>
      <c r="L355" s="161" t="s">
        <v>3380</v>
      </c>
      <c r="M355" s="21" t="s">
        <v>1332</v>
      </c>
      <c r="N355" s="161" t="s">
        <v>67</v>
      </c>
      <c r="O355" s="21" t="s">
        <v>68</v>
      </c>
      <c r="P355" s="161" t="s">
        <v>109</v>
      </c>
      <c r="Q355" s="21" t="s">
        <v>1323</v>
      </c>
      <c r="R355" s="161" t="s">
        <v>1440</v>
      </c>
      <c r="S355" s="161" t="s">
        <v>1325</v>
      </c>
      <c r="T355" s="161" t="s">
        <v>174</v>
      </c>
      <c r="U355" s="161" t="s">
        <v>73</v>
      </c>
      <c r="V355" s="21" t="s">
        <v>74</v>
      </c>
      <c r="W355" s="21" t="s">
        <v>257</v>
      </c>
      <c r="X355" s="161" t="s">
        <v>304</v>
      </c>
      <c r="Y355" s="161">
        <v>0.02</v>
      </c>
      <c r="Z355" s="161">
        <v>8</v>
      </c>
      <c r="AA355" s="161" t="s">
        <v>77</v>
      </c>
      <c r="AB355" s="161" t="s">
        <v>114</v>
      </c>
      <c r="AC355" s="266" t="str">
        <f>HYPERLINK("https://gcsvt.ru/svetodiodnyie-svetilniki/svt-str-mpro-102w-20-cri80-5700k-duo/","Ссылка")</f>
        <v>Ссылка</v>
      </c>
      <c r="AD355" s="170" t="s">
        <v>2859</v>
      </c>
    </row>
    <row r="356" spans="1:30" s="161" customFormat="1" ht="39.950000000000003" hidden="1" customHeight="1" outlineLevel="1" x14ac:dyDescent="0.25">
      <c r="A356" s="21"/>
      <c r="B356" s="21" t="s">
        <v>1437</v>
      </c>
      <c r="C356" s="159" t="s">
        <v>1471</v>
      </c>
      <c r="D356" s="161">
        <v>30000</v>
      </c>
      <c r="E356" s="161">
        <v>204</v>
      </c>
      <c r="F356" s="161">
        <v>147</v>
      </c>
      <c r="G356" s="161" t="s">
        <v>1472</v>
      </c>
      <c r="H356" s="161" t="s">
        <v>180</v>
      </c>
      <c r="I356" s="161">
        <v>67</v>
      </c>
      <c r="J356" s="161" t="s">
        <v>105</v>
      </c>
      <c r="K356" s="21" t="s">
        <v>106</v>
      </c>
      <c r="L356" s="161" t="s">
        <v>3380</v>
      </c>
      <c r="M356" s="21" t="s">
        <v>1332</v>
      </c>
      <c r="N356" s="161" t="s">
        <v>67</v>
      </c>
      <c r="O356" s="21" t="s">
        <v>68</v>
      </c>
      <c r="P356" s="161" t="s">
        <v>109</v>
      </c>
      <c r="Q356" s="21" t="s">
        <v>1323</v>
      </c>
      <c r="R356" s="161" t="s">
        <v>1440</v>
      </c>
      <c r="S356" s="161" t="s">
        <v>1325</v>
      </c>
      <c r="T356" s="161" t="s">
        <v>174</v>
      </c>
      <c r="U356" s="161" t="s">
        <v>73</v>
      </c>
      <c r="V356" s="21" t="s">
        <v>74</v>
      </c>
      <c r="W356" s="21" t="s">
        <v>257</v>
      </c>
      <c r="X356" s="161" t="s">
        <v>304</v>
      </c>
      <c r="Y356" s="161">
        <v>0.02</v>
      </c>
      <c r="Z356" s="161">
        <v>8</v>
      </c>
      <c r="AA356" s="161" t="s">
        <v>77</v>
      </c>
      <c r="AB356" s="161" t="s">
        <v>114</v>
      </c>
      <c r="AC356" s="266" t="str">
        <f>HYPERLINK("https://gcsvt.ru/svetodiodnyie-svetilniki/svt-str-mpro-102w-35-cri80-5700k-duo/","Ссылка")</f>
        <v>Ссылка</v>
      </c>
      <c r="AD356" s="170" t="s">
        <v>2859</v>
      </c>
    </row>
    <row r="357" spans="1:30" s="161" customFormat="1" ht="39.950000000000003" hidden="1" customHeight="1" outlineLevel="1" x14ac:dyDescent="0.25">
      <c r="A357" s="21"/>
      <c r="B357" s="21" t="s">
        <v>1437</v>
      </c>
      <c r="C357" s="159" t="s">
        <v>1473</v>
      </c>
      <c r="D357" s="161">
        <v>30000</v>
      </c>
      <c r="E357" s="161">
        <v>204</v>
      </c>
      <c r="F357" s="161">
        <v>147</v>
      </c>
      <c r="G357" s="161" t="s">
        <v>1474</v>
      </c>
      <c r="H357" s="161" t="s">
        <v>183</v>
      </c>
      <c r="I357" s="161">
        <v>67</v>
      </c>
      <c r="J357" s="161" t="s">
        <v>105</v>
      </c>
      <c r="K357" s="21" t="s">
        <v>106</v>
      </c>
      <c r="L357" s="161" t="s">
        <v>3380</v>
      </c>
      <c r="M357" s="21" t="s">
        <v>1332</v>
      </c>
      <c r="N357" s="161" t="s">
        <v>67</v>
      </c>
      <c r="O357" s="21" t="s">
        <v>68</v>
      </c>
      <c r="P357" s="161" t="s">
        <v>109</v>
      </c>
      <c r="Q357" s="21" t="s">
        <v>1323</v>
      </c>
      <c r="R357" s="161" t="s">
        <v>1440</v>
      </c>
      <c r="S357" s="161" t="s">
        <v>1325</v>
      </c>
      <c r="T357" s="161" t="s">
        <v>174</v>
      </c>
      <c r="U357" s="161" t="s">
        <v>73</v>
      </c>
      <c r="V357" s="21" t="s">
        <v>74</v>
      </c>
      <c r="W357" s="21" t="s">
        <v>257</v>
      </c>
      <c r="X357" s="161" t="s">
        <v>304</v>
      </c>
      <c r="Y357" s="161">
        <v>0.02</v>
      </c>
      <c r="Z357" s="161">
        <v>8</v>
      </c>
      <c r="AA357" s="161" t="s">
        <v>77</v>
      </c>
      <c r="AB357" s="161" t="s">
        <v>114</v>
      </c>
      <c r="AC357" s="266" t="str">
        <f>HYPERLINK("https://gcsvt.ru/svetodiodnyie-svetilniki/svt-str-mpro-102w-65-cri80-5700k-duo/","Ссылка")</f>
        <v>Ссылка</v>
      </c>
      <c r="AD357" s="170" t="s">
        <v>2859</v>
      </c>
    </row>
    <row r="358" spans="1:30" s="161" customFormat="1" ht="39.950000000000003" hidden="1" customHeight="1" outlineLevel="1" x14ac:dyDescent="0.25">
      <c r="A358" s="21"/>
      <c r="B358" s="21" t="s">
        <v>1437</v>
      </c>
      <c r="C358" s="159" t="s">
        <v>1475</v>
      </c>
      <c r="D358" s="161">
        <v>45000</v>
      </c>
      <c r="E358" s="161">
        <v>306</v>
      </c>
      <c r="F358" s="161">
        <v>147</v>
      </c>
      <c r="G358" s="161" t="s">
        <v>1476</v>
      </c>
      <c r="H358" s="161" t="s">
        <v>177</v>
      </c>
      <c r="I358" s="161">
        <v>67</v>
      </c>
      <c r="J358" s="161" t="s">
        <v>105</v>
      </c>
      <c r="K358" s="21" t="s">
        <v>106</v>
      </c>
      <c r="L358" s="161" t="s">
        <v>3380</v>
      </c>
      <c r="M358" s="21" t="s">
        <v>1332</v>
      </c>
      <c r="N358" s="161" t="s">
        <v>67</v>
      </c>
      <c r="O358" s="21" t="s">
        <v>68</v>
      </c>
      <c r="P358" s="161" t="s">
        <v>109</v>
      </c>
      <c r="Q358" s="21" t="s">
        <v>1323</v>
      </c>
      <c r="R358" s="161" t="s">
        <v>1440</v>
      </c>
      <c r="S358" s="161" t="s">
        <v>1325</v>
      </c>
      <c r="T358" s="161" t="s">
        <v>174</v>
      </c>
      <c r="U358" s="161" t="s">
        <v>73</v>
      </c>
      <c r="V358" s="21" t="s">
        <v>74</v>
      </c>
      <c r="W358" s="21" t="s">
        <v>257</v>
      </c>
      <c r="X358" s="161" t="s">
        <v>342</v>
      </c>
      <c r="Y358" s="161">
        <v>0.03</v>
      </c>
      <c r="Z358" s="161">
        <v>11.5</v>
      </c>
      <c r="AA358" s="161" t="s">
        <v>77</v>
      </c>
      <c r="AB358" s="161" t="s">
        <v>114</v>
      </c>
      <c r="AC358" s="266" t="str">
        <f>HYPERLINK("https://gcsvt.ru/svetodiodnyie-svetilniki/svt-str-mpro-102w-20-cri80-5700k-trio/","Ссылка")</f>
        <v>Ссылка</v>
      </c>
      <c r="AD358" s="170" t="s">
        <v>2859</v>
      </c>
    </row>
    <row r="359" spans="1:30" s="161" customFormat="1" ht="39.950000000000003" hidden="1" customHeight="1" outlineLevel="1" x14ac:dyDescent="0.25">
      <c r="A359" s="21"/>
      <c r="B359" s="21" t="s">
        <v>1437</v>
      </c>
      <c r="C359" s="159" t="s">
        <v>1477</v>
      </c>
      <c r="D359" s="161">
        <v>45000</v>
      </c>
      <c r="E359" s="161">
        <v>306</v>
      </c>
      <c r="F359" s="161">
        <v>147</v>
      </c>
      <c r="G359" s="161" t="s">
        <v>1478</v>
      </c>
      <c r="H359" s="161" t="s">
        <v>180</v>
      </c>
      <c r="I359" s="161">
        <v>67</v>
      </c>
      <c r="J359" s="161" t="s">
        <v>105</v>
      </c>
      <c r="K359" s="21" t="s">
        <v>106</v>
      </c>
      <c r="L359" s="161" t="s">
        <v>3380</v>
      </c>
      <c r="M359" s="21" t="s">
        <v>1332</v>
      </c>
      <c r="N359" s="161" t="s">
        <v>67</v>
      </c>
      <c r="O359" s="21" t="s">
        <v>68</v>
      </c>
      <c r="P359" s="161" t="s">
        <v>109</v>
      </c>
      <c r="Q359" s="21" t="s">
        <v>1323</v>
      </c>
      <c r="R359" s="161" t="s">
        <v>1440</v>
      </c>
      <c r="S359" s="161" t="s">
        <v>1325</v>
      </c>
      <c r="T359" s="161" t="s">
        <v>174</v>
      </c>
      <c r="U359" s="161" t="s">
        <v>73</v>
      </c>
      <c r="V359" s="21" t="s">
        <v>74</v>
      </c>
      <c r="W359" s="21" t="s">
        <v>257</v>
      </c>
      <c r="X359" s="161" t="s">
        <v>342</v>
      </c>
      <c r="Y359" s="161">
        <v>0.03</v>
      </c>
      <c r="Z359" s="161">
        <v>11.5</v>
      </c>
      <c r="AA359" s="161" t="s">
        <v>77</v>
      </c>
      <c r="AB359" s="161" t="s">
        <v>114</v>
      </c>
      <c r="AC359" s="266" t="str">
        <f>HYPERLINK("https://gcsvt.ru/svetodiodnyie-svetilniki/svt-str-mpro-102w-35-cri80-5700k-trio/","Ссылка")</f>
        <v>Ссылка</v>
      </c>
      <c r="AD359" s="170" t="s">
        <v>2859</v>
      </c>
    </row>
    <row r="360" spans="1:30" s="161" customFormat="1" ht="39.950000000000003" hidden="1" customHeight="1" outlineLevel="1" x14ac:dyDescent="0.25">
      <c r="A360" s="21"/>
      <c r="B360" s="21" t="s">
        <v>1437</v>
      </c>
      <c r="C360" s="159" t="s">
        <v>1479</v>
      </c>
      <c r="D360" s="161">
        <v>45000</v>
      </c>
      <c r="E360" s="161">
        <v>306</v>
      </c>
      <c r="F360" s="161">
        <v>147</v>
      </c>
      <c r="G360" s="161" t="s">
        <v>1480</v>
      </c>
      <c r="H360" s="161" t="s">
        <v>183</v>
      </c>
      <c r="I360" s="161">
        <v>67</v>
      </c>
      <c r="J360" s="161" t="s">
        <v>105</v>
      </c>
      <c r="K360" s="21" t="s">
        <v>106</v>
      </c>
      <c r="L360" s="161" t="s">
        <v>3380</v>
      </c>
      <c r="M360" s="21" t="s">
        <v>1332</v>
      </c>
      <c r="N360" s="161" t="s">
        <v>67</v>
      </c>
      <c r="O360" s="21" t="s">
        <v>68</v>
      </c>
      <c r="P360" s="161" t="s">
        <v>109</v>
      </c>
      <c r="Q360" s="21" t="s">
        <v>1323</v>
      </c>
      <c r="R360" s="161" t="s">
        <v>1440</v>
      </c>
      <c r="S360" s="161" t="s">
        <v>1325</v>
      </c>
      <c r="T360" s="161" t="s">
        <v>174</v>
      </c>
      <c r="U360" s="161" t="s">
        <v>73</v>
      </c>
      <c r="V360" s="21" t="s">
        <v>74</v>
      </c>
      <c r="W360" s="21" t="s">
        <v>257</v>
      </c>
      <c r="X360" s="161" t="s">
        <v>342</v>
      </c>
      <c r="Y360" s="161">
        <v>0.03</v>
      </c>
      <c r="Z360" s="161">
        <v>11.5</v>
      </c>
      <c r="AA360" s="161" t="s">
        <v>77</v>
      </c>
      <c r="AB360" s="161" t="s">
        <v>114</v>
      </c>
      <c r="AC360" s="266" t="str">
        <f>HYPERLINK("https://gcsvt.ru/svetodiodnyie-svetilniki/svt-str-mpro-102w-65-cri80-5700k-trio/","Ссылка")</f>
        <v>Ссылка</v>
      </c>
      <c r="AD360" s="170" t="s">
        <v>2859</v>
      </c>
    </row>
    <row r="361" spans="1:30" s="161" customFormat="1" ht="39.950000000000003" hidden="1" customHeight="1" outlineLevel="1" x14ac:dyDescent="0.25">
      <c r="A361" s="21"/>
      <c r="B361" s="21" t="s">
        <v>1437</v>
      </c>
      <c r="C361" s="159" t="s">
        <v>1481</v>
      </c>
      <c r="D361" s="161">
        <v>60000</v>
      </c>
      <c r="E361" s="161">
        <v>408</v>
      </c>
      <c r="F361" s="161">
        <v>147</v>
      </c>
      <c r="G361" s="161" t="s">
        <v>1482</v>
      </c>
      <c r="H361" s="161" t="s">
        <v>177</v>
      </c>
      <c r="I361" s="161">
        <v>67</v>
      </c>
      <c r="J361" s="161" t="s">
        <v>105</v>
      </c>
      <c r="K361" s="21" t="s">
        <v>106</v>
      </c>
      <c r="L361" s="161" t="s">
        <v>3380</v>
      </c>
      <c r="M361" s="21" t="s">
        <v>1332</v>
      </c>
      <c r="N361" s="161" t="s">
        <v>67</v>
      </c>
      <c r="O361" s="21" t="s">
        <v>68</v>
      </c>
      <c r="P361" s="161" t="s">
        <v>109</v>
      </c>
      <c r="Q361" s="21" t="s">
        <v>1323</v>
      </c>
      <c r="R361" s="161" t="s">
        <v>1440</v>
      </c>
      <c r="S361" s="161" t="s">
        <v>1325</v>
      </c>
      <c r="T361" s="161" t="s">
        <v>174</v>
      </c>
      <c r="U361" s="161" t="s">
        <v>73</v>
      </c>
      <c r="V361" s="21" t="s">
        <v>74</v>
      </c>
      <c r="W361" s="21" t="s">
        <v>257</v>
      </c>
      <c r="X361" s="161" t="s">
        <v>373</v>
      </c>
      <c r="Y361" s="161">
        <v>0.04</v>
      </c>
      <c r="Z361" s="161">
        <v>15</v>
      </c>
      <c r="AA361" s="161" t="s">
        <v>77</v>
      </c>
      <c r="AB361" s="161" t="s">
        <v>114</v>
      </c>
      <c r="AC361" s="266" t="str">
        <f>HYPERLINK("https://gcsvt.ru/svetodiodnyie-svetilniki/svt-str-mpro-102w-20-cri80-5700k-quattro/","Ссылка")</f>
        <v>Ссылка</v>
      </c>
      <c r="AD361" s="170" t="s">
        <v>2859</v>
      </c>
    </row>
    <row r="362" spans="1:30" s="161" customFormat="1" ht="39.950000000000003" hidden="1" customHeight="1" outlineLevel="1" x14ac:dyDescent="0.25">
      <c r="A362" s="21"/>
      <c r="B362" s="21" t="s">
        <v>1437</v>
      </c>
      <c r="C362" s="159" t="s">
        <v>1483</v>
      </c>
      <c r="D362" s="161">
        <v>60000</v>
      </c>
      <c r="E362" s="161">
        <v>408</v>
      </c>
      <c r="F362" s="161">
        <v>147</v>
      </c>
      <c r="G362" s="161" t="s">
        <v>1484</v>
      </c>
      <c r="H362" s="161" t="s">
        <v>180</v>
      </c>
      <c r="I362" s="161">
        <v>67</v>
      </c>
      <c r="J362" s="161" t="s">
        <v>105</v>
      </c>
      <c r="K362" s="21" t="s">
        <v>106</v>
      </c>
      <c r="L362" s="161" t="s">
        <v>3380</v>
      </c>
      <c r="M362" s="21" t="s">
        <v>1332</v>
      </c>
      <c r="N362" s="161" t="s">
        <v>67</v>
      </c>
      <c r="O362" s="21" t="s">
        <v>68</v>
      </c>
      <c r="P362" s="161" t="s">
        <v>109</v>
      </c>
      <c r="Q362" s="21" t="s">
        <v>1323</v>
      </c>
      <c r="R362" s="161" t="s">
        <v>1440</v>
      </c>
      <c r="S362" s="161" t="s">
        <v>1325</v>
      </c>
      <c r="T362" s="161" t="s">
        <v>174</v>
      </c>
      <c r="U362" s="161" t="s">
        <v>73</v>
      </c>
      <c r="V362" s="21" t="s">
        <v>74</v>
      </c>
      <c r="W362" s="21" t="s">
        <v>257</v>
      </c>
      <c r="X362" s="161" t="s">
        <v>373</v>
      </c>
      <c r="Y362" s="161">
        <v>0.04</v>
      </c>
      <c r="Z362" s="161">
        <v>15</v>
      </c>
      <c r="AA362" s="161" t="s">
        <v>77</v>
      </c>
      <c r="AB362" s="161" t="s">
        <v>114</v>
      </c>
      <c r="AC362" s="266" t="str">
        <f>HYPERLINK("https://gcsvt.ru/svetodiodnyie-svetilniki/svt-str-mpro-102w-35-cri80-5700k-quattro/","Ссылка")</f>
        <v>Ссылка</v>
      </c>
      <c r="AD362" s="170" t="s">
        <v>2859</v>
      </c>
    </row>
    <row r="363" spans="1:30" s="161" customFormat="1" ht="39.950000000000003" hidden="1" customHeight="1" outlineLevel="1" x14ac:dyDescent="0.25">
      <c r="A363" s="21"/>
      <c r="B363" s="21" t="s">
        <v>1437</v>
      </c>
      <c r="C363" s="159" t="s">
        <v>1485</v>
      </c>
      <c r="D363" s="161">
        <v>60000</v>
      </c>
      <c r="E363" s="161">
        <v>408</v>
      </c>
      <c r="F363" s="161">
        <v>147</v>
      </c>
      <c r="G363" s="161" t="s">
        <v>1486</v>
      </c>
      <c r="H363" s="161" t="s">
        <v>183</v>
      </c>
      <c r="I363" s="161">
        <v>67</v>
      </c>
      <c r="J363" s="161" t="s">
        <v>105</v>
      </c>
      <c r="K363" s="21" t="s">
        <v>106</v>
      </c>
      <c r="L363" s="161" t="s">
        <v>3380</v>
      </c>
      <c r="M363" s="21" t="s">
        <v>1332</v>
      </c>
      <c r="N363" s="161" t="s">
        <v>67</v>
      </c>
      <c r="O363" s="21" t="s">
        <v>68</v>
      </c>
      <c r="P363" s="161" t="s">
        <v>109</v>
      </c>
      <c r="Q363" s="21" t="s">
        <v>1323</v>
      </c>
      <c r="R363" s="161" t="s">
        <v>1440</v>
      </c>
      <c r="S363" s="161" t="s">
        <v>1325</v>
      </c>
      <c r="T363" s="161" t="s">
        <v>174</v>
      </c>
      <c r="U363" s="161" t="s">
        <v>73</v>
      </c>
      <c r="V363" s="21" t="s">
        <v>74</v>
      </c>
      <c r="W363" s="21" t="s">
        <v>257</v>
      </c>
      <c r="X363" s="161" t="s">
        <v>373</v>
      </c>
      <c r="Y363" s="161">
        <v>0.04</v>
      </c>
      <c r="Z363" s="161">
        <v>15</v>
      </c>
      <c r="AA363" s="161" t="s">
        <v>77</v>
      </c>
      <c r="AB363" s="161" t="s">
        <v>114</v>
      </c>
      <c r="AC363" s="266" t="str">
        <f>HYPERLINK("https://gcsvt.ru/svetodiodnyie-svetilniki/svt-str-mpro-102w-65-cri80-5700k-quattro/","Ссылка")</f>
        <v>Ссылка</v>
      </c>
      <c r="AD363" s="170" t="s">
        <v>2859</v>
      </c>
    </row>
    <row r="364" spans="1:30" s="161" customFormat="1" ht="39.950000000000003" hidden="1" customHeight="1" outlineLevel="1" x14ac:dyDescent="0.25">
      <c r="A364" s="21"/>
      <c r="B364" s="21" t="s">
        <v>1437</v>
      </c>
      <c r="C364" s="159" t="s">
        <v>1487</v>
      </c>
      <c r="D364" s="161">
        <v>8560</v>
      </c>
      <c r="E364" s="161">
        <v>61</v>
      </c>
      <c r="F364" s="161">
        <v>140</v>
      </c>
      <c r="G364" s="161" t="s">
        <v>1488</v>
      </c>
      <c r="H364" s="161" t="s">
        <v>138</v>
      </c>
      <c r="I364" s="161">
        <v>67</v>
      </c>
      <c r="J364" s="161" t="s">
        <v>105</v>
      </c>
      <c r="K364" s="21" t="s">
        <v>106</v>
      </c>
      <c r="L364" s="161" t="s">
        <v>3380</v>
      </c>
      <c r="M364" s="21" t="s">
        <v>107</v>
      </c>
      <c r="N364" s="161" t="s">
        <v>108</v>
      </c>
      <c r="O364" s="21" t="s">
        <v>68</v>
      </c>
      <c r="P364" s="161" t="s">
        <v>109</v>
      </c>
      <c r="Q364" s="21" t="s">
        <v>1323</v>
      </c>
      <c r="R364" s="161" t="s">
        <v>1440</v>
      </c>
      <c r="S364" s="161" t="s">
        <v>1325</v>
      </c>
      <c r="T364" s="161" t="s">
        <v>141</v>
      </c>
      <c r="U364" s="161" t="s">
        <v>73</v>
      </c>
      <c r="V364" s="21" t="s">
        <v>74</v>
      </c>
      <c r="W364" s="21" t="s">
        <v>75</v>
      </c>
      <c r="X364" s="161" t="s">
        <v>152</v>
      </c>
      <c r="Y364" s="161">
        <v>0.01</v>
      </c>
      <c r="Z364" s="161">
        <v>2</v>
      </c>
      <c r="AA364" s="161" t="s">
        <v>77</v>
      </c>
      <c r="AB364" s="161" t="s">
        <v>114</v>
      </c>
      <c r="AC364" s="266" t="str">
        <f>HYPERLINK("https://gcsvt.ru/svetodiodnyie-svetilniki/svt-str-mpro-61w-cri80-5700k/","Ссылка")</f>
        <v>Ссылка</v>
      </c>
      <c r="AD364" s="170" t="s">
        <v>2859</v>
      </c>
    </row>
    <row r="365" spans="1:30" s="161" customFormat="1" ht="39.950000000000003" hidden="1" customHeight="1" outlineLevel="1" x14ac:dyDescent="0.25">
      <c r="A365" s="21"/>
      <c r="B365" s="21" t="s">
        <v>1437</v>
      </c>
      <c r="C365" s="159" t="s">
        <v>1489</v>
      </c>
      <c r="D365" s="161">
        <v>17120</v>
      </c>
      <c r="E365" s="161">
        <v>122</v>
      </c>
      <c r="F365" s="161">
        <v>140</v>
      </c>
      <c r="G365" s="161" t="s">
        <v>1490</v>
      </c>
      <c r="H365" s="161" t="s">
        <v>138</v>
      </c>
      <c r="I365" s="161">
        <v>67</v>
      </c>
      <c r="J365" s="161" t="s">
        <v>105</v>
      </c>
      <c r="K365" s="21" t="s">
        <v>106</v>
      </c>
      <c r="L365" s="161" t="s">
        <v>3380</v>
      </c>
      <c r="M365" s="21" t="s">
        <v>107</v>
      </c>
      <c r="N365" s="161" t="s">
        <v>108</v>
      </c>
      <c r="O365" s="21" t="s">
        <v>68</v>
      </c>
      <c r="P365" s="161" t="s">
        <v>109</v>
      </c>
      <c r="Q365" s="21" t="s">
        <v>1323</v>
      </c>
      <c r="R365" s="161" t="s">
        <v>1440</v>
      </c>
      <c r="S365" s="161" t="s">
        <v>1325</v>
      </c>
      <c r="T365" s="161" t="s">
        <v>141</v>
      </c>
      <c r="U365" s="161" t="s">
        <v>73</v>
      </c>
      <c r="V365" s="21" t="s">
        <v>74</v>
      </c>
      <c r="W365" s="21" t="s">
        <v>75</v>
      </c>
      <c r="X365" s="161" t="s">
        <v>258</v>
      </c>
      <c r="Y365" s="161">
        <v>0.01</v>
      </c>
      <c r="Z365" s="161">
        <v>5</v>
      </c>
      <c r="AA365" s="161" t="s">
        <v>77</v>
      </c>
      <c r="AB365" s="161" t="s">
        <v>114</v>
      </c>
      <c r="AC365" s="266" t="str">
        <f>HYPERLINK("https://gcsvt.ru/svetodiodnyie-svetilniki/svt-str-mpro-61w-cri80-5700k-duo/","Ссылка")</f>
        <v>Ссылка</v>
      </c>
      <c r="AD365" s="170" t="s">
        <v>2859</v>
      </c>
    </row>
    <row r="366" spans="1:30" s="161" customFormat="1" ht="39.950000000000003" hidden="1" customHeight="1" outlineLevel="1" x14ac:dyDescent="0.25">
      <c r="A366" s="21"/>
      <c r="B366" s="21" t="s">
        <v>1437</v>
      </c>
      <c r="C366" s="159" t="s">
        <v>1491</v>
      </c>
      <c r="D366" s="161">
        <v>25680</v>
      </c>
      <c r="E366" s="161">
        <v>183</v>
      </c>
      <c r="F366" s="161">
        <v>140</v>
      </c>
      <c r="G366" s="161" t="s">
        <v>1492</v>
      </c>
      <c r="H366" s="161" t="s">
        <v>138</v>
      </c>
      <c r="I366" s="161">
        <v>67</v>
      </c>
      <c r="J366" s="161" t="s">
        <v>105</v>
      </c>
      <c r="K366" s="21" t="s">
        <v>106</v>
      </c>
      <c r="L366" s="161" t="s">
        <v>3380</v>
      </c>
      <c r="M366" s="21" t="s">
        <v>107</v>
      </c>
      <c r="N366" s="161" t="s">
        <v>108</v>
      </c>
      <c r="O366" s="21" t="s">
        <v>68</v>
      </c>
      <c r="P366" s="161" t="s">
        <v>109</v>
      </c>
      <c r="Q366" s="21" t="s">
        <v>1323</v>
      </c>
      <c r="R366" s="161" t="s">
        <v>1440</v>
      </c>
      <c r="S366" s="161" t="s">
        <v>1325</v>
      </c>
      <c r="T366" s="161" t="s">
        <v>141</v>
      </c>
      <c r="U366" s="161" t="s">
        <v>73</v>
      </c>
      <c r="V366" s="21" t="s">
        <v>74</v>
      </c>
      <c r="W366" s="21" t="s">
        <v>75</v>
      </c>
      <c r="X366" s="161" t="s">
        <v>262</v>
      </c>
      <c r="Y366" s="161">
        <v>0.02</v>
      </c>
      <c r="Z366" s="161">
        <v>7.5</v>
      </c>
      <c r="AA366" s="161" t="s">
        <v>77</v>
      </c>
      <c r="AB366" s="161" t="s">
        <v>114</v>
      </c>
      <c r="AC366" s="266" t="str">
        <f>HYPERLINK("https://gcsvt.ru/svetodiodnyie-svetilniki/svt-str-mpro-61w-cri80-5700k-trio/","Ссылка")</f>
        <v>Ссылка</v>
      </c>
      <c r="AD366" s="170" t="s">
        <v>2859</v>
      </c>
    </row>
    <row r="367" spans="1:30" s="161" customFormat="1" ht="39.950000000000003" hidden="1" customHeight="1" outlineLevel="1" x14ac:dyDescent="0.25">
      <c r="A367" s="21"/>
      <c r="B367" s="21" t="s">
        <v>1437</v>
      </c>
      <c r="C367" s="159" t="s">
        <v>1493</v>
      </c>
      <c r="D367" s="161">
        <v>13375</v>
      </c>
      <c r="E367" s="161">
        <v>96</v>
      </c>
      <c r="F367" s="161">
        <v>139</v>
      </c>
      <c r="G367" s="161" t="s">
        <v>1494</v>
      </c>
      <c r="H367" s="161" t="s">
        <v>138</v>
      </c>
      <c r="I367" s="161">
        <v>67</v>
      </c>
      <c r="J367" s="161" t="s">
        <v>105</v>
      </c>
      <c r="K367" s="21" t="s">
        <v>106</v>
      </c>
      <c r="L367" s="161" t="s">
        <v>3380</v>
      </c>
      <c r="M367" s="21" t="s">
        <v>1332</v>
      </c>
      <c r="N367" s="161" t="s">
        <v>67</v>
      </c>
      <c r="O367" s="21" t="s">
        <v>68</v>
      </c>
      <c r="P367" s="161" t="s">
        <v>109</v>
      </c>
      <c r="Q367" s="21" t="s">
        <v>1323</v>
      </c>
      <c r="R367" s="161" t="s">
        <v>1440</v>
      </c>
      <c r="S367" s="161" t="s">
        <v>1325</v>
      </c>
      <c r="T367" s="161" t="s">
        <v>141</v>
      </c>
      <c r="U367" s="161" t="s">
        <v>73</v>
      </c>
      <c r="V367" s="21" t="s">
        <v>74</v>
      </c>
      <c r="W367" s="21" t="s">
        <v>257</v>
      </c>
      <c r="X367" s="161" t="s">
        <v>156</v>
      </c>
      <c r="Y367" s="161">
        <v>0.01</v>
      </c>
      <c r="Z367" s="161">
        <v>2.8</v>
      </c>
      <c r="AA367" s="161" t="s">
        <v>77</v>
      </c>
      <c r="AB367" s="161" t="s">
        <v>114</v>
      </c>
      <c r="AC367" s="266" t="str">
        <f>HYPERLINK("https://gcsvt.ru/svetodiodnyie-svetilniki/svt-str-mpro-96w-cri80-5700k/","Ссылка")</f>
        <v>Ссылка</v>
      </c>
      <c r="AD367" s="170" t="s">
        <v>2859</v>
      </c>
    </row>
    <row r="368" spans="1:30" s="161" customFormat="1" ht="39.950000000000003" hidden="1" customHeight="1" outlineLevel="1" x14ac:dyDescent="0.25">
      <c r="A368" s="21"/>
      <c r="B368" s="21" t="s">
        <v>1437</v>
      </c>
      <c r="C368" s="159" t="s">
        <v>1495</v>
      </c>
      <c r="D368" s="161">
        <v>26750</v>
      </c>
      <c r="E368" s="161">
        <v>192</v>
      </c>
      <c r="F368" s="161">
        <v>139</v>
      </c>
      <c r="G368" s="161" t="s">
        <v>1496</v>
      </c>
      <c r="H368" s="161" t="s">
        <v>138</v>
      </c>
      <c r="I368" s="161">
        <v>67</v>
      </c>
      <c r="J368" s="161" t="s">
        <v>105</v>
      </c>
      <c r="K368" s="21" t="s">
        <v>106</v>
      </c>
      <c r="L368" s="161" t="s">
        <v>3380</v>
      </c>
      <c r="M368" s="21" t="s">
        <v>1332</v>
      </c>
      <c r="N368" s="161" t="s">
        <v>67</v>
      </c>
      <c r="O368" s="21" t="s">
        <v>68</v>
      </c>
      <c r="P368" s="161" t="s">
        <v>109</v>
      </c>
      <c r="Q368" s="21" t="s">
        <v>1323</v>
      </c>
      <c r="R368" s="161" t="s">
        <v>1440</v>
      </c>
      <c r="S368" s="161" t="s">
        <v>1325</v>
      </c>
      <c r="T368" s="161" t="s">
        <v>141</v>
      </c>
      <c r="U368" s="161" t="s">
        <v>73</v>
      </c>
      <c r="V368" s="21" t="s">
        <v>74</v>
      </c>
      <c r="W368" s="21" t="s">
        <v>257</v>
      </c>
      <c r="X368" s="161" t="s">
        <v>270</v>
      </c>
      <c r="Y368" s="161">
        <v>0.01</v>
      </c>
      <c r="Z368" s="161">
        <v>6.5</v>
      </c>
      <c r="AA368" s="161" t="s">
        <v>77</v>
      </c>
      <c r="AB368" s="161" t="s">
        <v>114</v>
      </c>
      <c r="AC368" s="266" t="str">
        <f>HYPERLINK("https://gcsvt.ru/svetodiodnyie-svetilniki/svt-str-mpro-96w-cri80-5700k-duo/","Ссылка")</f>
        <v>Ссылка</v>
      </c>
      <c r="AD368" s="170" t="s">
        <v>2859</v>
      </c>
    </row>
    <row r="369" spans="1:30" s="161" customFormat="1" ht="39.950000000000003" hidden="1" customHeight="1" outlineLevel="1" x14ac:dyDescent="0.25">
      <c r="A369" s="21"/>
      <c r="B369" s="21" t="s">
        <v>1437</v>
      </c>
      <c r="C369" s="159" t="s">
        <v>1497</v>
      </c>
      <c r="D369" s="161">
        <v>40125</v>
      </c>
      <c r="E369" s="161">
        <v>288</v>
      </c>
      <c r="F369" s="161">
        <v>139</v>
      </c>
      <c r="G369" s="161" t="s">
        <v>1498</v>
      </c>
      <c r="H369" s="161" t="s">
        <v>138</v>
      </c>
      <c r="I369" s="161">
        <v>67</v>
      </c>
      <c r="J369" s="161" t="s">
        <v>105</v>
      </c>
      <c r="K369" s="21" t="s">
        <v>106</v>
      </c>
      <c r="L369" s="161" t="s">
        <v>3380</v>
      </c>
      <c r="M369" s="21" t="s">
        <v>1332</v>
      </c>
      <c r="N369" s="161" t="s">
        <v>67</v>
      </c>
      <c r="O369" s="21" t="s">
        <v>68</v>
      </c>
      <c r="P369" s="161" t="s">
        <v>109</v>
      </c>
      <c r="Q369" s="21" t="s">
        <v>1323</v>
      </c>
      <c r="R369" s="161" t="s">
        <v>1440</v>
      </c>
      <c r="S369" s="161" t="s">
        <v>1325</v>
      </c>
      <c r="T369" s="161" t="s">
        <v>141</v>
      </c>
      <c r="U369" s="161" t="s">
        <v>73</v>
      </c>
      <c r="V369" s="21" t="s">
        <v>74</v>
      </c>
      <c r="W369" s="21" t="s">
        <v>257</v>
      </c>
      <c r="X369" s="161" t="s">
        <v>274</v>
      </c>
      <c r="Y369" s="161">
        <v>0.02</v>
      </c>
      <c r="Z369" s="161">
        <v>9</v>
      </c>
      <c r="AA369" s="161" t="s">
        <v>77</v>
      </c>
      <c r="AB369" s="161" t="s">
        <v>114</v>
      </c>
      <c r="AC369" s="266" t="str">
        <f>HYPERLINK("https://gcsvt.ru/svetodiodnyie-svetilniki/svt-str-mpro-96w-cri80-5700k-trio/","Ссылка")</f>
        <v>Ссылка</v>
      </c>
      <c r="AD369" s="170" t="s">
        <v>2859</v>
      </c>
    </row>
    <row r="370" spans="1:30" s="161" customFormat="1" ht="39.950000000000003" hidden="1" customHeight="1" outlineLevel="1" x14ac:dyDescent="0.25">
      <c r="A370" s="21"/>
      <c r="B370" s="21" t="s">
        <v>1437</v>
      </c>
      <c r="C370" s="159" t="s">
        <v>1499</v>
      </c>
      <c r="D370" s="161">
        <v>53500</v>
      </c>
      <c r="E370" s="161">
        <v>384</v>
      </c>
      <c r="F370" s="161">
        <v>139</v>
      </c>
      <c r="G370" s="161" t="s">
        <v>1500</v>
      </c>
      <c r="H370" s="161" t="s">
        <v>138</v>
      </c>
      <c r="I370" s="161">
        <v>67</v>
      </c>
      <c r="J370" s="161" t="s">
        <v>105</v>
      </c>
      <c r="K370" s="21" t="s">
        <v>106</v>
      </c>
      <c r="L370" s="161" t="s">
        <v>3380</v>
      </c>
      <c r="M370" s="21" t="s">
        <v>1332</v>
      </c>
      <c r="N370" s="161" t="s">
        <v>67</v>
      </c>
      <c r="O370" s="21" t="s">
        <v>68</v>
      </c>
      <c r="P370" s="161" t="s">
        <v>109</v>
      </c>
      <c r="Q370" s="21" t="s">
        <v>1323</v>
      </c>
      <c r="R370" s="161" t="s">
        <v>1440</v>
      </c>
      <c r="S370" s="161" t="s">
        <v>1325</v>
      </c>
      <c r="T370" s="161" t="s">
        <v>141</v>
      </c>
      <c r="U370" s="161" t="s">
        <v>73</v>
      </c>
      <c r="V370" s="21" t="s">
        <v>74</v>
      </c>
      <c r="W370" s="21" t="s">
        <v>257</v>
      </c>
      <c r="X370" s="161" t="s">
        <v>278</v>
      </c>
      <c r="Y370" s="161">
        <v>0.03</v>
      </c>
      <c r="Z370" s="161">
        <v>12</v>
      </c>
      <c r="AA370" s="161" t="s">
        <v>77</v>
      </c>
      <c r="AB370" s="161" t="s">
        <v>114</v>
      </c>
      <c r="AC370" s="266" t="str">
        <f>HYPERLINK("https://gcsvt.ru/svetodiodnyie-svetilniki/svt-str-mpro-96w-cri80-5700k-quattro/","Ссылка")</f>
        <v>Ссылка</v>
      </c>
      <c r="AD370" s="170" t="s">
        <v>2859</v>
      </c>
    </row>
    <row r="371" spans="1:30" s="161" customFormat="1" ht="39.950000000000003" hidden="1" customHeight="1" outlineLevel="1" x14ac:dyDescent="0.25">
      <c r="A371" s="21"/>
      <c r="B371" s="21" t="s">
        <v>1501</v>
      </c>
      <c r="C371" s="159" t="s">
        <v>1502</v>
      </c>
      <c r="D371" s="161">
        <v>10700</v>
      </c>
      <c r="E371" s="161">
        <v>81</v>
      </c>
      <c r="F371" s="161">
        <v>132</v>
      </c>
      <c r="G371" s="161" t="s">
        <v>1503</v>
      </c>
      <c r="H371" s="161" t="s">
        <v>177</v>
      </c>
      <c r="I371" s="161">
        <v>67</v>
      </c>
      <c r="J371" s="161" t="s">
        <v>389</v>
      </c>
      <c r="K371" s="21" t="s">
        <v>106</v>
      </c>
      <c r="L371" s="161" t="s">
        <v>3380</v>
      </c>
      <c r="M371" s="21" t="s">
        <v>1332</v>
      </c>
      <c r="N371" s="161" t="s">
        <v>67</v>
      </c>
      <c r="O371" s="21" t="s">
        <v>68</v>
      </c>
      <c r="P371" s="161" t="s">
        <v>109</v>
      </c>
      <c r="Q371" s="21" t="s">
        <v>1323</v>
      </c>
      <c r="R371" s="161" t="s">
        <v>1440</v>
      </c>
      <c r="S371" s="161" t="s">
        <v>1325</v>
      </c>
      <c r="T371" s="161" t="s">
        <v>390</v>
      </c>
      <c r="U371" s="161" t="s">
        <v>73</v>
      </c>
      <c r="V371" s="21" t="s">
        <v>74</v>
      </c>
      <c r="W371" s="21" t="s">
        <v>257</v>
      </c>
      <c r="X371" s="161" t="s">
        <v>156</v>
      </c>
      <c r="Y371" s="161">
        <v>0.01</v>
      </c>
      <c r="Z371" s="161">
        <v>2.2000000000000002</v>
      </c>
      <c r="AA371" s="161" t="s">
        <v>77</v>
      </c>
      <c r="AB371" s="161" t="s">
        <v>391</v>
      </c>
      <c r="AC371" s="266" t="str">
        <f>HYPERLINK("https://gcsvt.ru/svetodiodnyie-svetilniki/svt-str-mpro-max-81w-20-cri80-5700k/","Ссылка")</f>
        <v>Ссылка</v>
      </c>
      <c r="AD371" s="170" t="s">
        <v>2859</v>
      </c>
    </row>
    <row r="372" spans="1:30" s="161" customFormat="1" ht="39.950000000000003" hidden="1" customHeight="1" outlineLevel="1" x14ac:dyDescent="0.25">
      <c r="A372" s="21"/>
      <c r="B372" s="21" t="s">
        <v>1501</v>
      </c>
      <c r="C372" s="159" t="s">
        <v>1504</v>
      </c>
      <c r="D372" s="161">
        <v>10700</v>
      </c>
      <c r="E372" s="161">
        <v>81</v>
      </c>
      <c r="F372" s="161">
        <v>132</v>
      </c>
      <c r="G372" s="161" t="s">
        <v>1505</v>
      </c>
      <c r="H372" s="161" t="s">
        <v>180</v>
      </c>
      <c r="I372" s="161">
        <v>67</v>
      </c>
      <c r="J372" s="161" t="s">
        <v>389</v>
      </c>
      <c r="K372" s="21" t="s">
        <v>106</v>
      </c>
      <c r="L372" s="161" t="s">
        <v>3380</v>
      </c>
      <c r="M372" s="21" t="s">
        <v>1332</v>
      </c>
      <c r="N372" s="161" t="s">
        <v>67</v>
      </c>
      <c r="O372" s="21" t="s">
        <v>68</v>
      </c>
      <c r="P372" s="161" t="s">
        <v>109</v>
      </c>
      <c r="Q372" s="21" t="s">
        <v>1323</v>
      </c>
      <c r="R372" s="161" t="s">
        <v>1440</v>
      </c>
      <c r="S372" s="161" t="s">
        <v>1325</v>
      </c>
      <c r="T372" s="161" t="s">
        <v>390</v>
      </c>
      <c r="U372" s="161" t="s">
        <v>73</v>
      </c>
      <c r="V372" s="21" t="s">
        <v>74</v>
      </c>
      <c r="W372" s="21" t="s">
        <v>257</v>
      </c>
      <c r="X372" s="161" t="s">
        <v>156</v>
      </c>
      <c r="Y372" s="161">
        <v>0.01</v>
      </c>
      <c r="Z372" s="161">
        <v>2.2000000000000002</v>
      </c>
      <c r="AA372" s="161" t="s">
        <v>77</v>
      </c>
      <c r="AB372" s="161" t="s">
        <v>391</v>
      </c>
      <c r="AC372" s="266" t="str">
        <f>HYPERLINK("https://gcsvt.ru/svetodiodnyie-svetilniki/svt-str-mpro-max-81w-35-cri80-5700k/","Ссылка")</f>
        <v>Ссылка</v>
      </c>
      <c r="AD372" s="170" t="s">
        <v>2859</v>
      </c>
    </row>
    <row r="373" spans="1:30" s="161" customFormat="1" ht="39.950000000000003" hidden="1" customHeight="1" outlineLevel="1" x14ac:dyDescent="0.25">
      <c r="A373" s="21"/>
      <c r="B373" s="21" t="s">
        <v>1501</v>
      </c>
      <c r="C373" s="159" t="s">
        <v>1506</v>
      </c>
      <c r="D373" s="161">
        <v>10700</v>
      </c>
      <c r="E373" s="161">
        <v>81</v>
      </c>
      <c r="F373" s="161">
        <v>132</v>
      </c>
      <c r="G373" s="161" t="s">
        <v>1507</v>
      </c>
      <c r="H373" s="161" t="s">
        <v>183</v>
      </c>
      <c r="I373" s="161">
        <v>67</v>
      </c>
      <c r="J373" s="161" t="s">
        <v>389</v>
      </c>
      <c r="K373" s="21" t="s">
        <v>106</v>
      </c>
      <c r="L373" s="161" t="s">
        <v>3380</v>
      </c>
      <c r="M373" s="21" t="s">
        <v>1332</v>
      </c>
      <c r="N373" s="161" t="s">
        <v>67</v>
      </c>
      <c r="O373" s="21" t="s">
        <v>68</v>
      </c>
      <c r="P373" s="161" t="s">
        <v>109</v>
      </c>
      <c r="Q373" s="21" t="s">
        <v>1323</v>
      </c>
      <c r="R373" s="161" t="s">
        <v>1440</v>
      </c>
      <c r="S373" s="161" t="s">
        <v>1325</v>
      </c>
      <c r="T373" s="161" t="s">
        <v>390</v>
      </c>
      <c r="U373" s="161" t="s">
        <v>73</v>
      </c>
      <c r="V373" s="21" t="s">
        <v>74</v>
      </c>
      <c r="W373" s="21" t="s">
        <v>257</v>
      </c>
      <c r="X373" s="161" t="s">
        <v>156</v>
      </c>
      <c r="Y373" s="161">
        <v>0.01</v>
      </c>
      <c r="Z373" s="161">
        <v>2.2000000000000002</v>
      </c>
      <c r="AA373" s="161" t="s">
        <v>77</v>
      </c>
      <c r="AB373" s="161" t="s">
        <v>391</v>
      </c>
      <c r="AC373" s="266" t="str">
        <f>HYPERLINK("https://gcsvt.ru/svetodiodnyie-svetilniki/svt-str-mpro-max-81w-65-cri80-5700k/","Ссылка")</f>
        <v>Ссылка</v>
      </c>
      <c r="AD373" s="170" t="s">
        <v>2859</v>
      </c>
    </row>
    <row r="374" spans="1:30" s="161" customFormat="1" ht="39.950000000000003" hidden="1" customHeight="1" outlineLevel="1" x14ac:dyDescent="0.25">
      <c r="A374" s="21"/>
      <c r="B374" s="21" t="s">
        <v>1501</v>
      </c>
      <c r="C374" s="159" t="s">
        <v>1508</v>
      </c>
      <c r="D374" s="161">
        <v>16000</v>
      </c>
      <c r="E374" s="161">
        <v>119</v>
      </c>
      <c r="F374" s="161">
        <v>134</v>
      </c>
      <c r="G374" s="161" t="s">
        <v>1509</v>
      </c>
      <c r="H374" s="161" t="s">
        <v>177</v>
      </c>
      <c r="I374" s="161">
        <v>67</v>
      </c>
      <c r="J374" s="161" t="s">
        <v>389</v>
      </c>
      <c r="K374" s="21" t="s">
        <v>106</v>
      </c>
      <c r="L374" s="161" t="s">
        <v>3380</v>
      </c>
      <c r="M374" s="21" t="s">
        <v>1332</v>
      </c>
      <c r="N374" s="161" t="s">
        <v>67</v>
      </c>
      <c r="O374" s="21" t="s">
        <v>68</v>
      </c>
      <c r="P374" s="161" t="s">
        <v>109</v>
      </c>
      <c r="Q374" s="21" t="s">
        <v>1323</v>
      </c>
      <c r="R374" s="161" t="s">
        <v>1440</v>
      </c>
      <c r="S374" s="161" t="s">
        <v>1325</v>
      </c>
      <c r="T374" s="161" t="s">
        <v>390</v>
      </c>
      <c r="U374" s="161" t="s">
        <v>73</v>
      </c>
      <c r="V374" s="21" t="s">
        <v>74</v>
      </c>
      <c r="W374" s="21" t="s">
        <v>257</v>
      </c>
      <c r="X374" s="161" t="s">
        <v>424</v>
      </c>
      <c r="Y374" s="161">
        <v>0.01</v>
      </c>
      <c r="Z374" s="161">
        <v>2.8</v>
      </c>
      <c r="AA374" s="161" t="s">
        <v>77</v>
      </c>
      <c r="AB374" s="161" t="s">
        <v>391</v>
      </c>
      <c r="AC374" s="266" t="str">
        <f>HYPERLINK("https://gcsvt.ru/svetodiodnyie-svetilniki/svt-str-mpro-max-119w-20-cri80-5700k/","Ссылка")</f>
        <v>Ссылка</v>
      </c>
      <c r="AD374" s="170" t="s">
        <v>2859</v>
      </c>
    </row>
    <row r="375" spans="1:30" s="161" customFormat="1" ht="39.950000000000003" hidden="1" customHeight="1" outlineLevel="1" x14ac:dyDescent="0.25">
      <c r="A375" s="21"/>
      <c r="B375" s="21" t="s">
        <v>1501</v>
      </c>
      <c r="C375" s="159" t="s">
        <v>1510</v>
      </c>
      <c r="D375" s="161">
        <v>16000</v>
      </c>
      <c r="E375" s="161">
        <v>119</v>
      </c>
      <c r="F375" s="161">
        <v>134</v>
      </c>
      <c r="G375" s="161" t="s">
        <v>1511</v>
      </c>
      <c r="H375" s="161" t="s">
        <v>180</v>
      </c>
      <c r="I375" s="161">
        <v>67</v>
      </c>
      <c r="J375" s="161" t="s">
        <v>389</v>
      </c>
      <c r="K375" s="21" t="s">
        <v>106</v>
      </c>
      <c r="L375" s="161" t="s">
        <v>3380</v>
      </c>
      <c r="M375" s="21" t="s">
        <v>1332</v>
      </c>
      <c r="N375" s="161" t="s">
        <v>67</v>
      </c>
      <c r="O375" s="21" t="s">
        <v>68</v>
      </c>
      <c r="P375" s="161" t="s">
        <v>109</v>
      </c>
      <c r="Q375" s="21" t="s">
        <v>1323</v>
      </c>
      <c r="R375" s="161" t="s">
        <v>1440</v>
      </c>
      <c r="S375" s="161" t="s">
        <v>1325</v>
      </c>
      <c r="T375" s="161" t="s">
        <v>390</v>
      </c>
      <c r="U375" s="161" t="s">
        <v>73</v>
      </c>
      <c r="V375" s="21" t="s">
        <v>74</v>
      </c>
      <c r="W375" s="21" t="s">
        <v>257</v>
      </c>
      <c r="X375" s="161" t="s">
        <v>424</v>
      </c>
      <c r="Y375" s="161">
        <v>0.01</v>
      </c>
      <c r="Z375" s="161">
        <v>2.8</v>
      </c>
      <c r="AA375" s="161" t="s">
        <v>77</v>
      </c>
      <c r="AB375" s="161" t="s">
        <v>391</v>
      </c>
      <c r="AC375" s="266" t="str">
        <f>HYPERLINK("https://gcsvt.ru/svetodiodnyie-svetilniki/svt-str-mpro-max-119w-35-cri80-5700k/","Ссылка")</f>
        <v>Ссылка</v>
      </c>
      <c r="AD375" s="170" t="s">
        <v>2859</v>
      </c>
    </row>
    <row r="376" spans="1:30" s="161" customFormat="1" ht="39.950000000000003" hidden="1" customHeight="1" outlineLevel="1" x14ac:dyDescent="0.25">
      <c r="A376" s="21"/>
      <c r="B376" s="21" t="s">
        <v>1501</v>
      </c>
      <c r="C376" s="159" t="s">
        <v>1512</v>
      </c>
      <c r="D376" s="161">
        <v>16000</v>
      </c>
      <c r="E376" s="161">
        <v>119</v>
      </c>
      <c r="F376" s="161">
        <v>134</v>
      </c>
      <c r="G376" s="161" t="s">
        <v>1513</v>
      </c>
      <c r="H376" s="161" t="s">
        <v>183</v>
      </c>
      <c r="I376" s="161">
        <v>67</v>
      </c>
      <c r="J376" s="161" t="s">
        <v>389</v>
      </c>
      <c r="K376" s="21" t="s">
        <v>106</v>
      </c>
      <c r="L376" s="161" t="s">
        <v>3380</v>
      </c>
      <c r="M376" s="21" t="s">
        <v>1332</v>
      </c>
      <c r="N376" s="161" t="s">
        <v>67</v>
      </c>
      <c r="O376" s="21" t="s">
        <v>68</v>
      </c>
      <c r="P376" s="161" t="s">
        <v>109</v>
      </c>
      <c r="Q376" s="21" t="s">
        <v>1323</v>
      </c>
      <c r="R376" s="161" t="s">
        <v>1440</v>
      </c>
      <c r="S376" s="161" t="s">
        <v>1325</v>
      </c>
      <c r="T376" s="161" t="s">
        <v>390</v>
      </c>
      <c r="U376" s="161" t="s">
        <v>73</v>
      </c>
      <c r="V376" s="21" t="s">
        <v>74</v>
      </c>
      <c r="W376" s="21" t="s">
        <v>257</v>
      </c>
      <c r="X376" s="161" t="s">
        <v>424</v>
      </c>
      <c r="Y376" s="161">
        <v>0.01</v>
      </c>
      <c r="Z376" s="161">
        <v>2.8</v>
      </c>
      <c r="AA376" s="161" t="s">
        <v>77</v>
      </c>
      <c r="AB376" s="161" t="s">
        <v>391</v>
      </c>
      <c r="AC376" s="266" t="str">
        <f>HYPERLINK("https://gcsvt.ru/svetodiodnyie-svetilniki/svt-str-mpro-max-119w-65-cri80-5700k/","Ссылка")</f>
        <v>Ссылка</v>
      </c>
      <c r="AD376" s="170" t="s">
        <v>2859</v>
      </c>
    </row>
    <row r="377" spans="1:30" s="161" customFormat="1" ht="39.950000000000003" hidden="1" customHeight="1" outlineLevel="1" x14ac:dyDescent="0.25">
      <c r="A377" s="21"/>
      <c r="B377" s="21" t="s">
        <v>1501</v>
      </c>
      <c r="C377" s="159" t="s">
        <v>1514</v>
      </c>
      <c r="D377" s="161">
        <v>21400</v>
      </c>
      <c r="E377" s="161">
        <v>155</v>
      </c>
      <c r="F377" s="161">
        <v>138</v>
      </c>
      <c r="G377" s="161" t="s">
        <v>1515</v>
      </c>
      <c r="H377" s="161" t="s">
        <v>177</v>
      </c>
      <c r="I377" s="161">
        <v>67</v>
      </c>
      <c r="J377" s="161" t="s">
        <v>389</v>
      </c>
      <c r="K377" s="21" t="s">
        <v>106</v>
      </c>
      <c r="L377" s="161" t="s">
        <v>3380</v>
      </c>
      <c r="M377" s="21" t="s">
        <v>1332</v>
      </c>
      <c r="N377" s="161" t="s">
        <v>67</v>
      </c>
      <c r="O377" s="21" t="s">
        <v>68</v>
      </c>
      <c r="P377" s="161" t="s">
        <v>109</v>
      </c>
      <c r="Q377" s="21" t="s">
        <v>1323</v>
      </c>
      <c r="R377" s="161" t="s">
        <v>1440</v>
      </c>
      <c r="S377" s="161" t="s">
        <v>1325</v>
      </c>
      <c r="T377" s="161" t="s">
        <v>390</v>
      </c>
      <c r="U377" s="161" t="s">
        <v>73</v>
      </c>
      <c r="V377" s="21" t="s">
        <v>74</v>
      </c>
      <c r="W377" s="21" t="s">
        <v>257</v>
      </c>
      <c r="X377" s="161" t="s">
        <v>442</v>
      </c>
      <c r="Y377" s="161">
        <v>0.01</v>
      </c>
      <c r="Z377" s="161">
        <v>3.5</v>
      </c>
      <c r="AA377" s="161" t="s">
        <v>77</v>
      </c>
      <c r="AB377" s="161" t="s">
        <v>391</v>
      </c>
      <c r="AC377" s="266" t="str">
        <f>HYPERLINK("https://gcsvt.ru/svetodiodnyie-svetilniki/svt-str-mpro-max-155w-20-cri80-5700k/","Ссылка")</f>
        <v>Ссылка</v>
      </c>
      <c r="AD377" s="170" t="s">
        <v>2859</v>
      </c>
    </row>
    <row r="378" spans="1:30" s="161" customFormat="1" ht="39.950000000000003" hidden="1" customHeight="1" outlineLevel="1" x14ac:dyDescent="0.25">
      <c r="A378" s="21"/>
      <c r="B378" s="21" t="s">
        <v>1501</v>
      </c>
      <c r="C378" s="159" t="s">
        <v>1516</v>
      </c>
      <c r="D378" s="161">
        <v>21400</v>
      </c>
      <c r="E378" s="161">
        <v>155</v>
      </c>
      <c r="F378" s="161">
        <v>138</v>
      </c>
      <c r="G378" s="161" t="s">
        <v>1517</v>
      </c>
      <c r="H378" s="161" t="s">
        <v>180</v>
      </c>
      <c r="I378" s="161">
        <v>67</v>
      </c>
      <c r="J378" s="161" t="s">
        <v>389</v>
      </c>
      <c r="K378" s="21" t="s">
        <v>106</v>
      </c>
      <c r="L378" s="161" t="s">
        <v>3380</v>
      </c>
      <c r="M378" s="21" t="s">
        <v>1332</v>
      </c>
      <c r="N378" s="161" t="s">
        <v>67</v>
      </c>
      <c r="O378" s="21" t="s">
        <v>68</v>
      </c>
      <c r="P378" s="161" t="s">
        <v>109</v>
      </c>
      <c r="Q378" s="21" t="s">
        <v>1323</v>
      </c>
      <c r="R378" s="161" t="s">
        <v>1440</v>
      </c>
      <c r="S378" s="161" t="s">
        <v>1325</v>
      </c>
      <c r="T378" s="161" t="s">
        <v>390</v>
      </c>
      <c r="U378" s="161" t="s">
        <v>73</v>
      </c>
      <c r="V378" s="21" t="s">
        <v>74</v>
      </c>
      <c r="W378" s="21" t="s">
        <v>257</v>
      </c>
      <c r="X378" s="161" t="s">
        <v>442</v>
      </c>
      <c r="Y378" s="161">
        <v>0.01</v>
      </c>
      <c r="Z378" s="161">
        <v>3.5</v>
      </c>
      <c r="AA378" s="161" t="s">
        <v>77</v>
      </c>
      <c r="AB378" s="161" t="s">
        <v>391</v>
      </c>
      <c r="AC378" s="266" t="str">
        <f>HYPERLINK("https://gcsvt.ru/svetodiodnyie-svetilniki/svt-str-mpro-max-155w-35-cri80-5700k/","Ссылка")</f>
        <v>Ссылка</v>
      </c>
      <c r="AD378" s="170" t="s">
        <v>2859</v>
      </c>
    </row>
    <row r="379" spans="1:30" s="161" customFormat="1" ht="39.950000000000003" hidden="1" customHeight="1" outlineLevel="1" x14ac:dyDescent="0.25">
      <c r="A379" s="21"/>
      <c r="B379" s="21" t="s">
        <v>1501</v>
      </c>
      <c r="C379" s="159" t="s">
        <v>1518</v>
      </c>
      <c r="D379" s="161">
        <v>21400</v>
      </c>
      <c r="E379" s="161">
        <v>155</v>
      </c>
      <c r="F379" s="161">
        <v>138</v>
      </c>
      <c r="G379" s="161" t="s">
        <v>1519</v>
      </c>
      <c r="H379" s="161" t="s">
        <v>183</v>
      </c>
      <c r="I379" s="161">
        <v>67</v>
      </c>
      <c r="J379" s="161" t="s">
        <v>389</v>
      </c>
      <c r="K379" s="21" t="s">
        <v>106</v>
      </c>
      <c r="L379" s="161" t="s">
        <v>3380</v>
      </c>
      <c r="M379" s="21" t="s">
        <v>1332</v>
      </c>
      <c r="N379" s="161" t="s">
        <v>67</v>
      </c>
      <c r="O379" s="21" t="s">
        <v>68</v>
      </c>
      <c r="P379" s="161" t="s">
        <v>109</v>
      </c>
      <c r="Q379" s="21" t="s">
        <v>1323</v>
      </c>
      <c r="R379" s="161" t="s">
        <v>1440</v>
      </c>
      <c r="S379" s="161" t="s">
        <v>1325</v>
      </c>
      <c r="T379" s="161" t="s">
        <v>390</v>
      </c>
      <c r="U379" s="161" t="s">
        <v>73</v>
      </c>
      <c r="V379" s="21" t="s">
        <v>74</v>
      </c>
      <c r="W379" s="21" t="s">
        <v>257</v>
      </c>
      <c r="X379" s="161" t="s">
        <v>442</v>
      </c>
      <c r="Y379" s="161">
        <v>0.01</v>
      </c>
      <c r="Z379" s="161">
        <v>3.5</v>
      </c>
      <c r="AA379" s="161" t="s">
        <v>77</v>
      </c>
      <c r="AB379" s="161" t="s">
        <v>391</v>
      </c>
      <c r="AC379" s="266" t="str">
        <f>HYPERLINK("https://gcsvt.ru/svetodiodnyie-svetilniki/svt-str-mpro-max-155w-65-cri80-5700k/","Ссылка")</f>
        <v>Ссылка</v>
      </c>
      <c r="AD379" s="170" t="s">
        <v>2859</v>
      </c>
    </row>
    <row r="380" spans="1:30" s="161" customFormat="1" ht="39.950000000000003" hidden="1" customHeight="1" outlineLevel="1" x14ac:dyDescent="0.25">
      <c r="A380" s="21"/>
      <c r="B380" s="21" t="s">
        <v>1501</v>
      </c>
      <c r="C380" s="159" t="s">
        <v>1520</v>
      </c>
      <c r="D380" s="161">
        <v>32000</v>
      </c>
      <c r="E380" s="161">
        <v>238</v>
      </c>
      <c r="F380" s="161">
        <v>134</v>
      </c>
      <c r="G380" s="161" t="s">
        <v>1521</v>
      </c>
      <c r="H380" s="161" t="s">
        <v>177</v>
      </c>
      <c r="I380" s="161">
        <v>67</v>
      </c>
      <c r="J380" s="161" t="s">
        <v>389</v>
      </c>
      <c r="K380" s="21" t="s">
        <v>106</v>
      </c>
      <c r="L380" s="161" t="s">
        <v>3380</v>
      </c>
      <c r="M380" s="21" t="s">
        <v>1332</v>
      </c>
      <c r="N380" s="161" t="s">
        <v>67</v>
      </c>
      <c r="O380" s="21" t="s">
        <v>68</v>
      </c>
      <c r="P380" s="161" t="s">
        <v>109</v>
      </c>
      <c r="Q380" s="21" t="s">
        <v>1323</v>
      </c>
      <c r="R380" s="161" t="s">
        <v>1440</v>
      </c>
      <c r="S380" s="161" t="s">
        <v>1325</v>
      </c>
      <c r="T380" s="161" t="s">
        <v>390</v>
      </c>
      <c r="U380" s="161" t="s">
        <v>73</v>
      </c>
      <c r="V380" s="21" t="s">
        <v>74</v>
      </c>
      <c r="W380" s="21" t="s">
        <v>257</v>
      </c>
      <c r="X380" s="161" t="s">
        <v>460</v>
      </c>
      <c r="Y380" s="161">
        <v>0.02</v>
      </c>
      <c r="Z380" s="161">
        <v>6.5</v>
      </c>
      <c r="AA380" s="161" t="s">
        <v>77</v>
      </c>
      <c r="AB380" s="161" t="s">
        <v>391</v>
      </c>
      <c r="AC380" s="266" t="str">
        <f>HYPERLINK("https://gcsvt.ru/svetodiodnyie-svetilniki/svt-str-mpro-max-119w-20-cri80-5700k-duo/","Ссылка")</f>
        <v>Ссылка</v>
      </c>
      <c r="AD380" s="170" t="s">
        <v>2859</v>
      </c>
    </row>
    <row r="381" spans="1:30" s="161" customFormat="1" ht="39.950000000000003" hidden="1" customHeight="1" outlineLevel="1" x14ac:dyDescent="0.25">
      <c r="A381" s="21"/>
      <c r="B381" s="21" t="s">
        <v>1501</v>
      </c>
      <c r="C381" s="159" t="s">
        <v>1522</v>
      </c>
      <c r="D381" s="161">
        <v>32000</v>
      </c>
      <c r="E381" s="161">
        <v>238</v>
      </c>
      <c r="F381" s="161">
        <v>134</v>
      </c>
      <c r="G381" s="161" t="s">
        <v>1523</v>
      </c>
      <c r="H381" s="161" t="s">
        <v>180</v>
      </c>
      <c r="I381" s="161">
        <v>67</v>
      </c>
      <c r="J381" s="161" t="s">
        <v>389</v>
      </c>
      <c r="K381" s="21" t="s">
        <v>106</v>
      </c>
      <c r="L381" s="161" t="s">
        <v>3380</v>
      </c>
      <c r="M381" s="21" t="s">
        <v>1332</v>
      </c>
      <c r="N381" s="161" t="s">
        <v>67</v>
      </c>
      <c r="O381" s="21" t="s">
        <v>68</v>
      </c>
      <c r="P381" s="161" t="s">
        <v>109</v>
      </c>
      <c r="Q381" s="21" t="s">
        <v>1323</v>
      </c>
      <c r="R381" s="161" t="s">
        <v>1440</v>
      </c>
      <c r="S381" s="161" t="s">
        <v>1325</v>
      </c>
      <c r="T381" s="161" t="s">
        <v>390</v>
      </c>
      <c r="U381" s="161" t="s">
        <v>73</v>
      </c>
      <c r="V381" s="21" t="s">
        <v>74</v>
      </c>
      <c r="W381" s="21" t="s">
        <v>257</v>
      </c>
      <c r="X381" s="161" t="s">
        <v>460</v>
      </c>
      <c r="Y381" s="161">
        <v>0.02</v>
      </c>
      <c r="Z381" s="161">
        <v>6.5</v>
      </c>
      <c r="AA381" s="161" t="s">
        <v>77</v>
      </c>
      <c r="AB381" s="161" t="s">
        <v>391</v>
      </c>
      <c r="AC381" s="266" t="str">
        <f>HYPERLINK("https://gcsvt.ru/svetodiodnyie-svetilniki/svt-str-mpro-max-119w-35-cri80-5700k-duo/","Ссылка")</f>
        <v>Ссылка</v>
      </c>
      <c r="AD381" s="170" t="s">
        <v>2859</v>
      </c>
    </row>
    <row r="382" spans="1:30" s="161" customFormat="1" ht="39.950000000000003" hidden="1" customHeight="1" outlineLevel="1" x14ac:dyDescent="0.25">
      <c r="A382" s="21"/>
      <c r="B382" s="21" t="s">
        <v>1501</v>
      </c>
      <c r="C382" s="159" t="s">
        <v>1524</v>
      </c>
      <c r="D382" s="161">
        <v>32000</v>
      </c>
      <c r="E382" s="161">
        <v>238</v>
      </c>
      <c r="F382" s="161">
        <v>134</v>
      </c>
      <c r="G382" s="161" t="s">
        <v>1525</v>
      </c>
      <c r="H382" s="161" t="s">
        <v>183</v>
      </c>
      <c r="I382" s="161">
        <v>67</v>
      </c>
      <c r="J382" s="161" t="s">
        <v>389</v>
      </c>
      <c r="K382" s="21" t="s">
        <v>106</v>
      </c>
      <c r="L382" s="161" t="s">
        <v>3380</v>
      </c>
      <c r="M382" s="21" t="s">
        <v>1332</v>
      </c>
      <c r="N382" s="161" t="s">
        <v>67</v>
      </c>
      <c r="O382" s="21" t="s">
        <v>68</v>
      </c>
      <c r="P382" s="161" t="s">
        <v>109</v>
      </c>
      <c r="Q382" s="21" t="s">
        <v>1323</v>
      </c>
      <c r="R382" s="161" t="s">
        <v>1440</v>
      </c>
      <c r="S382" s="161" t="s">
        <v>1325</v>
      </c>
      <c r="T382" s="161" t="s">
        <v>390</v>
      </c>
      <c r="U382" s="161" t="s">
        <v>73</v>
      </c>
      <c r="V382" s="21" t="s">
        <v>74</v>
      </c>
      <c r="W382" s="21" t="s">
        <v>257</v>
      </c>
      <c r="X382" s="161" t="s">
        <v>460</v>
      </c>
      <c r="Y382" s="161">
        <v>0.02</v>
      </c>
      <c r="Z382" s="161">
        <v>6.5</v>
      </c>
      <c r="AA382" s="161" t="s">
        <v>77</v>
      </c>
      <c r="AB382" s="161" t="s">
        <v>391</v>
      </c>
      <c r="AC382" s="266" t="str">
        <f>HYPERLINK("https://gcsvt.ru/svetodiodnyie-svetilniki/svt-str-mpro-max-119w-65-cri80-5700k-duo/","Ссылка")</f>
        <v>Ссылка</v>
      </c>
      <c r="AD382" s="170" t="s">
        <v>2859</v>
      </c>
    </row>
    <row r="383" spans="1:30" s="161" customFormat="1" ht="39.950000000000003" hidden="1" customHeight="1" outlineLevel="1" x14ac:dyDescent="0.25">
      <c r="A383" s="21"/>
      <c r="B383" s="21" t="s">
        <v>1501</v>
      </c>
      <c r="C383" s="159" t="s">
        <v>1526</v>
      </c>
      <c r="D383" s="161">
        <v>48000</v>
      </c>
      <c r="E383" s="161">
        <v>357</v>
      </c>
      <c r="F383" s="161">
        <v>134</v>
      </c>
      <c r="G383" s="161" t="s">
        <v>1527</v>
      </c>
      <c r="H383" s="161" t="s">
        <v>177</v>
      </c>
      <c r="I383" s="161">
        <v>67</v>
      </c>
      <c r="J383" s="161" t="s">
        <v>389</v>
      </c>
      <c r="K383" s="21" t="s">
        <v>106</v>
      </c>
      <c r="L383" s="161" t="s">
        <v>3380</v>
      </c>
      <c r="M383" s="21" t="s">
        <v>1332</v>
      </c>
      <c r="N383" s="161" t="s">
        <v>67</v>
      </c>
      <c r="O383" s="21" t="s">
        <v>68</v>
      </c>
      <c r="P383" s="161" t="s">
        <v>109</v>
      </c>
      <c r="Q383" s="21" t="s">
        <v>1323</v>
      </c>
      <c r="R383" s="161" t="s">
        <v>1440</v>
      </c>
      <c r="S383" s="161" t="s">
        <v>1325</v>
      </c>
      <c r="T383" s="161" t="s">
        <v>390</v>
      </c>
      <c r="U383" s="161" t="s">
        <v>73</v>
      </c>
      <c r="V383" s="21" t="s">
        <v>74</v>
      </c>
      <c r="W383" s="21" t="s">
        <v>257</v>
      </c>
      <c r="X383" s="161" t="s">
        <v>469</v>
      </c>
      <c r="Y383" s="161">
        <v>0.03</v>
      </c>
      <c r="Z383" s="161">
        <v>9</v>
      </c>
      <c r="AA383" s="161" t="s">
        <v>77</v>
      </c>
      <c r="AB383" s="161" t="s">
        <v>391</v>
      </c>
      <c r="AC383" s="266" t="str">
        <f>HYPERLINK("https://gcsvt.ru/svetodiodnyie-svetilniki/svt-str-mpro-max-119w-20-cri80-5700k-trio/","Ссылка")</f>
        <v>Ссылка</v>
      </c>
      <c r="AD383" s="170" t="s">
        <v>2859</v>
      </c>
    </row>
    <row r="384" spans="1:30" s="161" customFormat="1" ht="39.950000000000003" hidden="1" customHeight="1" outlineLevel="1" x14ac:dyDescent="0.25">
      <c r="A384" s="21"/>
      <c r="B384" s="21" t="s">
        <v>1501</v>
      </c>
      <c r="C384" s="159" t="s">
        <v>1528</v>
      </c>
      <c r="D384" s="161">
        <v>48000</v>
      </c>
      <c r="E384" s="161">
        <v>357</v>
      </c>
      <c r="F384" s="161">
        <v>134</v>
      </c>
      <c r="G384" s="161" t="s">
        <v>1529</v>
      </c>
      <c r="H384" s="161" t="s">
        <v>180</v>
      </c>
      <c r="I384" s="161">
        <v>67</v>
      </c>
      <c r="J384" s="161" t="s">
        <v>389</v>
      </c>
      <c r="K384" s="21" t="s">
        <v>106</v>
      </c>
      <c r="L384" s="161" t="s">
        <v>3380</v>
      </c>
      <c r="M384" s="21" t="s">
        <v>1332</v>
      </c>
      <c r="N384" s="161" t="s">
        <v>67</v>
      </c>
      <c r="O384" s="21" t="s">
        <v>68</v>
      </c>
      <c r="P384" s="161" t="s">
        <v>109</v>
      </c>
      <c r="Q384" s="21" t="s">
        <v>1323</v>
      </c>
      <c r="R384" s="161" t="s">
        <v>1440</v>
      </c>
      <c r="S384" s="161" t="s">
        <v>1325</v>
      </c>
      <c r="T384" s="161" t="s">
        <v>390</v>
      </c>
      <c r="U384" s="161" t="s">
        <v>73</v>
      </c>
      <c r="V384" s="21" t="s">
        <v>74</v>
      </c>
      <c r="W384" s="21" t="s">
        <v>257</v>
      </c>
      <c r="X384" s="161" t="s">
        <v>469</v>
      </c>
      <c r="Y384" s="161">
        <v>0.03</v>
      </c>
      <c r="Z384" s="161">
        <v>9</v>
      </c>
      <c r="AA384" s="161" t="s">
        <v>77</v>
      </c>
      <c r="AB384" s="161" t="s">
        <v>391</v>
      </c>
      <c r="AC384" s="266" t="str">
        <f>HYPERLINK("https://gcsvt.ru/svetodiodnyie-svetilniki/svt-str-mpro-max-119w-35-cri80-5700k-trio/","Ссылка")</f>
        <v>Ссылка</v>
      </c>
      <c r="AD384" s="170" t="s">
        <v>2859</v>
      </c>
    </row>
    <row r="385" spans="1:30" s="161" customFormat="1" ht="39.950000000000003" hidden="1" customHeight="1" outlineLevel="1" x14ac:dyDescent="0.25">
      <c r="A385" s="21"/>
      <c r="B385" s="21" t="s">
        <v>1501</v>
      </c>
      <c r="C385" s="159" t="s">
        <v>1530</v>
      </c>
      <c r="D385" s="161">
        <v>48000</v>
      </c>
      <c r="E385" s="161">
        <v>357</v>
      </c>
      <c r="F385" s="161">
        <v>134</v>
      </c>
      <c r="G385" s="161" t="s">
        <v>1531</v>
      </c>
      <c r="H385" s="161" t="s">
        <v>183</v>
      </c>
      <c r="I385" s="161">
        <v>67</v>
      </c>
      <c r="J385" s="161" t="s">
        <v>389</v>
      </c>
      <c r="K385" s="21" t="s">
        <v>106</v>
      </c>
      <c r="L385" s="161" t="s">
        <v>3380</v>
      </c>
      <c r="M385" s="21" t="s">
        <v>1332</v>
      </c>
      <c r="N385" s="161" t="s">
        <v>67</v>
      </c>
      <c r="O385" s="21" t="s">
        <v>68</v>
      </c>
      <c r="P385" s="161" t="s">
        <v>109</v>
      </c>
      <c r="Q385" s="21" t="s">
        <v>1323</v>
      </c>
      <c r="R385" s="161" t="s">
        <v>1440</v>
      </c>
      <c r="S385" s="161" t="s">
        <v>1325</v>
      </c>
      <c r="T385" s="161" t="s">
        <v>390</v>
      </c>
      <c r="U385" s="161" t="s">
        <v>73</v>
      </c>
      <c r="V385" s="21" t="s">
        <v>74</v>
      </c>
      <c r="W385" s="21" t="s">
        <v>257</v>
      </c>
      <c r="X385" s="161" t="s">
        <v>469</v>
      </c>
      <c r="Y385" s="161">
        <v>0.03</v>
      </c>
      <c r="Z385" s="161">
        <v>9</v>
      </c>
      <c r="AA385" s="161" t="s">
        <v>77</v>
      </c>
      <c r="AB385" s="161" t="s">
        <v>391</v>
      </c>
      <c r="AC385" s="266" t="str">
        <f>HYPERLINK("https://gcsvt.ru/svetodiodnyie-svetilniki/svt-str-mpro-max-119w-65-cri80-5700k-trio/","Ссылка")</f>
        <v>Ссылка</v>
      </c>
      <c r="AD385" s="170" t="s">
        <v>2859</v>
      </c>
    </row>
    <row r="386" spans="1:30" s="161" customFormat="1" ht="39.950000000000003" hidden="1" customHeight="1" outlineLevel="1" x14ac:dyDescent="0.25">
      <c r="A386" s="21"/>
      <c r="B386" s="21" t="s">
        <v>1501</v>
      </c>
      <c r="C386" s="159" t="s">
        <v>1532</v>
      </c>
      <c r="D386" s="161">
        <v>42800</v>
      </c>
      <c r="E386" s="161">
        <v>310</v>
      </c>
      <c r="F386" s="161">
        <v>138</v>
      </c>
      <c r="G386" s="161" t="s">
        <v>1533</v>
      </c>
      <c r="H386" s="161" t="s">
        <v>177</v>
      </c>
      <c r="I386" s="161">
        <v>67</v>
      </c>
      <c r="J386" s="161" t="s">
        <v>389</v>
      </c>
      <c r="K386" s="21" t="s">
        <v>106</v>
      </c>
      <c r="L386" s="161" t="s">
        <v>3380</v>
      </c>
      <c r="M386" s="21" t="s">
        <v>1332</v>
      </c>
      <c r="N386" s="161" t="s">
        <v>67</v>
      </c>
      <c r="O386" s="21" t="s">
        <v>68</v>
      </c>
      <c r="P386" s="161" t="s">
        <v>109</v>
      </c>
      <c r="Q386" s="21" t="s">
        <v>1323</v>
      </c>
      <c r="R386" s="161" t="s">
        <v>1440</v>
      </c>
      <c r="S386" s="161" t="s">
        <v>1325</v>
      </c>
      <c r="T386" s="161" t="s">
        <v>390</v>
      </c>
      <c r="U386" s="161" t="s">
        <v>73</v>
      </c>
      <c r="V386" s="21" t="s">
        <v>74</v>
      </c>
      <c r="W386" s="21" t="s">
        <v>257</v>
      </c>
      <c r="X386" s="161" t="s">
        <v>478</v>
      </c>
      <c r="Y386" s="161">
        <v>0.02</v>
      </c>
      <c r="Z386" s="161">
        <v>8</v>
      </c>
      <c r="AA386" s="161" t="s">
        <v>77</v>
      </c>
      <c r="AB386" s="161" t="s">
        <v>391</v>
      </c>
      <c r="AC386" s="266" t="str">
        <f>HYPERLINK("https://gcsvt.ru/svetodiodnyie-svetilniki/svt-str-mpro-max-155w-20-cri80-5700k-duo/","Ссылка")</f>
        <v>Ссылка</v>
      </c>
      <c r="AD386" s="170" t="s">
        <v>2859</v>
      </c>
    </row>
    <row r="387" spans="1:30" s="161" customFormat="1" ht="39.950000000000003" hidden="1" customHeight="1" outlineLevel="1" x14ac:dyDescent="0.25">
      <c r="A387" s="21"/>
      <c r="B387" s="21" t="s">
        <v>1501</v>
      </c>
      <c r="C387" s="159" t="s">
        <v>1534</v>
      </c>
      <c r="D387" s="161">
        <v>42800</v>
      </c>
      <c r="E387" s="161">
        <v>310</v>
      </c>
      <c r="F387" s="161">
        <v>138</v>
      </c>
      <c r="G387" s="161" t="s">
        <v>1535</v>
      </c>
      <c r="H387" s="161" t="s">
        <v>180</v>
      </c>
      <c r="I387" s="161">
        <v>67</v>
      </c>
      <c r="J387" s="161" t="s">
        <v>389</v>
      </c>
      <c r="K387" s="21" t="s">
        <v>106</v>
      </c>
      <c r="L387" s="161" t="s">
        <v>3380</v>
      </c>
      <c r="M387" s="21" t="s">
        <v>1332</v>
      </c>
      <c r="N387" s="161" t="s">
        <v>67</v>
      </c>
      <c r="O387" s="21" t="s">
        <v>68</v>
      </c>
      <c r="P387" s="161" t="s">
        <v>109</v>
      </c>
      <c r="Q387" s="21" t="s">
        <v>1323</v>
      </c>
      <c r="R387" s="161" t="s">
        <v>1440</v>
      </c>
      <c r="S387" s="161" t="s">
        <v>1325</v>
      </c>
      <c r="T387" s="161" t="s">
        <v>390</v>
      </c>
      <c r="U387" s="161" t="s">
        <v>73</v>
      </c>
      <c r="V387" s="21" t="s">
        <v>74</v>
      </c>
      <c r="W387" s="21" t="s">
        <v>257</v>
      </c>
      <c r="X387" s="161" t="s">
        <v>478</v>
      </c>
      <c r="Y387" s="161">
        <v>0.02</v>
      </c>
      <c r="Z387" s="161">
        <v>8</v>
      </c>
      <c r="AA387" s="161" t="s">
        <v>77</v>
      </c>
      <c r="AB387" s="161" t="s">
        <v>391</v>
      </c>
      <c r="AC387" s="266" t="str">
        <f>HYPERLINK("https://gcsvt.ru/svetodiodnyie-svetilniki/svt-str-mpro-max-155w-35-cri80-5700k-duo/","Ссылка")</f>
        <v>Ссылка</v>
      </c>
      <c r="AD387" s="170" t="s">
        <v>2859</v>
      </c>
    </row>
    <row r="388" spans="1:30" s="161" customFormat="1" ht="39.950000000000003" hidden="1" customHeight="1" outlineLevel="1" x14ac:dyDescent="0.25">
      <c r="A388" s="21"/>
      <c r="B388" s="21" t="s">
        <v>1501</v>
      </c>
      <c r="C388" s="159" t="s">
        <v>1536</v>
      </c>
      <c r="D388" s="161">
        <v>42800</v>
      </c>
      <c r="E388" s="161">
        <v>310</v>
      </c>
      <c r="F388" s="161">
        <v>138</v>
      </c>
      <c r="G388" s="161" t="s">
        <v>1537</v>
      </c>
      <c r="H388" s="161" t="s">
        <v>183</v>
      </c>
      <c r="I388" s="161">
        <v>67</v>
      </c>
      <c r="J388" s="161" t="s">
        <v>389</v>
      </c>
      <c r="K388" s="21" t="s">
        <v>106</v>
      </c>
      <c r="L388" s="161" t="s">
        <v>3380</v>
      </c>
      <c r="M388" s="21" t="s">
        <v>1332</v>
      </c>
      <c r="N388" s="161" t="s">
        <v>67</v>
      </c>
      <c r="O388" s="21" t="s">
        <v>68</v>
      </c>
      <c r="P388" s="161" t="s">
        <v>109</v>
      </c>
      <c r="Q388" s="21" t="s">
        <v>1323</v>
      </c>
      <c r="R388" s="161" t="s">
        <v>1440</v>
      </c>
      <c r="S388" s="161" t="s">
        <v>1325</v>
      </c>
      <c r="T388" s="161" t="s">
        <v>390</v>
      </c>
      <c r="U388" s="161" t="s">
        <v>73</v>
      </c>
      <c r="V388" s="21" t="s">
        <v>74</v>
      </c>
      <c r="W388" s="21" t="s">
        <v>257</v>
      </c>
      <c r="X388" s="161" t="s">
        <v>478</v>
      </c>
      <c r="Y388" s="161">
        <v>0.02</v>
      </c>
      <c r="Z388" s="161">
        <v>8</v>
      </c>
      <c r="AA388" s="161" t="s">
        <v>77</v>
      </c>
      <c r="AB388" s="161" t="s">
        <v>391</v>
      </c>
      <c r="AC388" s="266" t="str">
        <f>HYPERLINK("https://gcsvt.ru/svetodiodnyie-svetilniki/svt-str-mpro-max-155w-65-cri80-5700k-duo/","Ссылка")</f>
        <v>Ссылка</v>
      </c>
      <c r="AD388" s="170" t="s">
        <v>2859</v>
      </c>
    </row>
    <row r="389" spans="1:30" s="161" customFormat="1" ht="39.950000000000003" hidden="1" customHeight="1" outlineLevel="1" x14ac:dyDescent="0.25">
      <c r="A389" s="21"/>
      <c r="B389" s="21" t="s">
        <v>1501</v>
      </c>
      <c r="C389" s="159" t="s">
        <v>1538</v>
      </c>
      <c r="D389" s="161">
        <v>64200</v>
      </c>
      <c r="E389" s="161">
        <v>465</v>
      </c>
      <c r="F389" s="161">
        <v>138</v>
      </c>
      <c r="G389" s="161" t="s">
        <v>1539</v>
      </c>
      <c r="H389" s="161" t="s">
        <v>177</v>
      </c>
      <c r="I389" s="161">
        <v>67</v>
      </c>
      <c r="J389" s="161" t="s">
        <v>389</v>
      </c>
      <c r="K389" s="21" t="s">
        <v>106</v>
      </c>
      <c r="L389" s="161" t="s">
        <v>3380</v>
      </c>
      <c r="M389" s="21" t="s">
        <v>1332</v>
      </c>
      <c r="N389" s="161" t="s">
        <v>67</v>
      </c>
      <c r="O389" s="21" t="s">
        <v>68</v>
      </c>
      <c r="P389" s="161" t="s">
        <v>109</v>
      </c>
      <c r="Q389" s="21" t="s">
        <v>1323</v>
      </c>
      <c r="R389" s="161" t="s">
        <v>1440</v>
      </c>
      <c r="S389" s="161" t="s">
        <v>1325</v>
      </c>
      <c r="T389" s="161" t="s">
        <v>390</v>
      </c>
      <c r="U389" s="161" t="s">
        <v>73</v>
      </c>
      <c r="V389" s="21" t="s">
        <v>74</v>
      </c>
      <c r="W389" s="21" t="s">
        <v>257</v>
      </c>
      <c r="X389" s="161" t="s">
        <v>487</v>
      </c>
      <c r="Y389" s="161">
        <v>0.03</v>
      </c>
      <c r="Z389" s="161">
        <v>11.5</v>
      </c>
      <c r="AA389" s="161" t="s">
        <v>77</v>
      </c>
      <c r="AB389" s="161" t="s">
        <v>391</v>
      </c>
      <c r="AC389" s="266" t="str">
        <f>HYPERLINK("https://gcsvt.ru/svetodiodnyie-svetilniki/svt-str-mpro-max-155w-20-cri80-5700k-trio/","Ссылка")</f>
        <v>Ссылка</v>
      </c>
      <c r="AD389" s="170" t="s">
        <v>2859</v>
      </c>
    </row>
    <row r="390" spans="1:30" s="161" customFormat="1" ht="39.950000000000003" hidden="1" customHeight="1" outlineLevel="1" x14ac:dyDescent="0.25">
      <c r="A390" s="21"/>
      <c r="B390" s="21" t="s">
        <v>1501</v>
      </c>
      <c r="C390" s="159" t="s">
        <v>1540</v>
      </c>
      <c r="D390" s="161">
        <v>64200</v>
      </c>
      <c r="E390" s="161">
        <v>465</v>
      </c>
      <c r="F390" s="161">
        <v>138</v>
      </c>
      <c r="G390" s="161" t="s">
        <v>1541</v>
      </c>
      <c r="H390" s="161" t="s">
        <v>180</v>
      </c>
      <c r="I390" s="161">
        <v>67</v>
      </c>
      <c r="J390" s="161" t="s">
        <v>389</v>
      </c>
      <c r="K390" s="21" t="s">
        <v>106</v>
      </c>
      <c r="L390" s="161" t="s">
        <v>3380</v>
      </c>
      <c r="M390" s="21" t="s">
        <v>1332</v>
      </c>
      <c r="N390" s="161" t="s">
        <v>67</v>
      </c>
      <c r="O390" s="21" t="s">
        <v>68</v>
      </c>
      <c r="P390" s="161" t="s">
        <v>109</v>
      </c>
      <c r="Q390" s="21" t="s">
        <v>1323</v>
      </c>
      <c r="R390" s="161" t="s">
        <v>1440</v>
      </c>
      <c r="S390" s="161" t="s">
        <v>1325</v>
      </c>
      <c r="T390" s="161" t="s">
        <v>390</v>
      </c>
      <c r="U390" s="161" t="s">
        <v>73</v>
      </c>
      <c r="V390" s="21" t="s">
        <v>74</v>
      </c>
      <c r="W390" s="21" t="s">
        <v>257</v>
      </c>
      <c r="X390" s="161" t="s">
        <v>487</v>
      </c>
      <c r="Y390" s="161">
        <v>0.03</v>
      </c>
      <c r="Z390" s="161">
        <v>11.5</v>
      </c>
      <c r="AA390" s="161" t="s">
        <v>77</v>
      </c>
      <c r="AB390" s="161" t="s">
        <v>391</v>
      </c>
      <c r="AC390" s="266" t="str">
        <f>HYPERLINK("https://gcsvt.ru/svetodiodnyie-svetilniki/svt-str-mpro-max-155w-35-cri80-5700k-trio/","Ссылка")</f>
        <v>Ссылка</v>
      </c>
      <c r="AD390" s="170" t="s">
        <v>2859</v>
      </c>
    </row>
    <row r="391" spans="1:30" s="161" customFormat="1" ht="39.950000000000003" hidden="1" customHeight="1" outlineLevel="1" x14ac:dyDescent="0.25">
      <c r="A391" s="21"/>
      <c r="B391" s="21" t="s">
        <v>1501</v>
      </c>
      <c r="C391" s="159" t="s">
        <v>1542</v>
      </c>
      <c r="D391" s="161">
        <v>64200</v>
      </c>
      <c r="E391" s="161">
        <v>465</v>
      </c>
      <c r="F391" s="161">
        <v>138</v>
      </c>
      <c r="G391" s="161" t="s">
        <v>1543</v>
      </c>
      <c r="H391" s="161" t="s">
        <v>183</v>
      </c>
      <c r="I391" s="161">
        <v>67</v>
      </c>
      <c r="J391" s="161" t="s">
        <v>389</v>
      </c>
      <c r="K391" s="21" t="s">
        <v>106</v>
      </c>
      <c r="L391" s="161" t="s">
        <v>3380</v>
      </c>
      <c r="M391" s="21" t="s">
        <v>1332</v>
      </c>
      <c r="N391" s="161" t="s">
        <v>67</v>
      </c>
      <c r="O391" s="21" t="s">
        <v>68</v>
      </c>
      <c r="P391" s="161" t="s">
        <v>109</v>
      </c>
      <c r="Q391" s="21" t="s">
        <v>1323</v>
      </c>
      <c r="R391" s="161" t="s">
        <v>1440</v>
      </c>
      <c r="S391" s="161" t="s">
        <v>1325</v>
      </c>
      <c r="T391" s="161" t="s">
        <v>390</v>
      </c>
      <c r="U391" s="161" t="s">
        <v>73</v>
      </c>
      <c r="V391" s="21" t="s">
        <v>74</v>
      </c>
      <c r="W391" s="21" t="s">
        <v>257</v>
      </c>
      <c r="X391" s="161" t="s">
        <v>487</v>
      </c>
      <c r="Y391" s="161">
        <v>0.03</v>
      </c>
      <c r="Z391" s="161">
        <v>11.5</v>
      </c>
      <c r="AA391" s="161" t="s">
        <v>77</v>
      </c>
      <c r="AB391" s="161" t="s">
        <v>391</v>
      </c>
      <c r="AC391" s="266" t="str">
        <f>HYPERLINK("https://gcsvt.ru/svetodiodnyie-svetilniki/svt-str-mpro-max-155w-65-cri80-5700k-trio/","Ссылка")</f>
        <v>Ссылка</v>
      </c>
      <c r="AD391" s="170" t="s">
        <v>2859</v>
      </c>
    </row>
    <row r="392" spans="1:30" s="161" customFormat="1" ht="39.950000000000003" hidden="1" customHeight="1" outlineLevel="1" x14ac:dyDescent="0.25">
      <c r="A392" s="21"/>
      <c r="B392" s="21" t="s">
        <v>1501</v>
      </c>
      <c r="C392" s="159" t="s">
        <v>1544</v>
      </c>
      <c r="D392" s="161">
        <v>85600</v>
      </c>
      <c r="E392" s="161">
        <v>620</v>
      </c>
      <c r="F392" s="161">
        <v>138</v>
      </c>
      <c r="G392" s="161" t="s">
        <v>1545</v>
      </c>
      <c r="H392" s="161" t="s">
        <v>177</v>
      </c>
      <c r="I392" s="161">
        <v>67</v>
      </c>
      <c r="J392" s="161" t="s">
        <v>389</v>
      </c>
      <c r="K392" s="21" t="s">
        <v>106</v>
      </c>
      <c r="L392" s="161" t="s">
        <v>3380</v>
      </c>
      <c r="M392" s="21" t="s">
        <v>1332</v>
      </c>
      <c r="N392" s="161" t="s">
        <v>67</v>
      </c>
      <c r="O392" s="21" t="s">
        <v>68</v>
      </c>
      <c r="P392" s="161" t="s">
        <v>109</v>
      </c>
      <c r="Q392" s="21" t="s">
        <v>1323</v>
      </c>
      <c r="R392" s="161" t="s">
        <v>1440</v>
      </c>
      <c r="S392" s="161" t="s">
        <v>1325</v>
      </c>
      <c r="T392" s="161" t="s">
        <v>390</v>
      </c>
      <c r="U392" s="161" t="s">
        <v>73</v>
      </c>
      <c r="V392" s="21" t="s">
        <v>74</v>
      </c>
      <c r="W392" s="21" t="s">
        <v>257</v>
      </c>
      <c r="X392" s="161" t="s">
        <v>496</v>
      </c>
      <c r="Y392" s="161">
        <v>0.04</v>
      </c>
      <c r="Z392" s="161">
        <v>15</v>
      </c>
      <c r="AA392" s="161" t="s">
        <v>77</v>
      </c>
      <c r="AB392" s="161" t="s">
        <v>391</v>
      </c>
      <c r="AC392" s="266" t="str">
        <f>HYPERLINK("https://gcsvt.ru/svetodiodnyie-svetilniki/svt-str-mpro-max-155w-20-cri80-5700k-quattro/","Ссылка")</f>
        <v>Ссылка</v>
      </c>
      <c r="AD392" s="170" t="s">
        <v>2859</v>
      </c>
    </row>
    <row r="393" spans="1:30" s="161" customFormat="1" ht="39.950000000000003" hidden="1" customHeight="1" outlineLevel="1" x14ac:dyDescent="0.25">
      <c r="A393" s="21"/>
      <c r="B393" s="21" t="s">
        <v>1501</v>
      </c>
      <c r="C393" s="159" t="s">
        <v>1546</v>
      </c>
      <c r="D393" s="161">
        <v>85600</v>
      </c>
      <c r="E393" s="161">
        <v>620</v>
      </c>
      <c r="F393" s="161">
        <v>138</v>
      </c>
      <c r="G393" s="161" t="s">
        <v>1547</v>
      </c>
      <c r="H393" s="161" t="s">
        <v>180</v>
      </c>
      <c r="I393" s="161">
        <v>67</v>
      </c>
      <c r="J393" s="161" t="s">
        <v>389</v>
      </c>
      <c r="K393" s="21" t="s">
        <v>106</v>
      </c>
      <c r="L393" s="161" t="s">
        <v>3380</v>
      </c>
      <c r="M393" s="21" t="s">
        <v>1332</v>
      </c>
      <c r="N393" s="161" t="s">
        <v>67</v>
      </c>
      <c r="O393" s="21" t="s">
        <v>68</v>
      </c>
      <c r="P393" s="161" t="s">
        <v>109</v>
      </c>
      <c r="Q393" s="21" t="s">
        <v>1323</v>
      </c>
      <c r="R393" s="161" t="s">
        <v>1440</v>
      </c>
      <c r="S393" s="161" t="s">
        <v>1325</v>
      </c>
      <c r="T393" s="161" t="s">
        <v>390</v>
      </c>
      <c r="U393" s="161" t="s">
        <v>73</v>
      </c>
      <c r="V393" s="21" t="s">
        <v>74</v>
      </c>
      <c r="W393" s="21" t="s">
        <v>257</v>
      </c>
      <c r="X393" s="161" t="s">
        <v>496</v>
      </c>
      <c r="Y393" s="161">
        <v>0.04</v>
      </c>
      <c r="Z393" s="161">
        <v>15</v>
      </c>
      <c r="AA393" s="161" t="s">
        <v>77</v>
      </c>
      <c r="AB393" s="161" t="s">
        <v>391</v>
      </c>
      <c r="AC393" s="266" t="str">
        <f>HYPERLINK("https://gcsvt.ru/svetodiodnyie-svetilniki/svt-str-mpro-max-155w-35-cri80-5700k-quattro/","Ссылка")</f>
        <v>Ссылка</v>
      </c>
      <c r="AD393" s="170" t="s">
        <v>2859</v>
      </c>
    </row>
    <row r="394" spans="1:30" s="161" customFormat="1" ht="39.950000000000003" hidden="1" customHeight="1" outlineLevel="1" x14ac:dyDescent="0.25">
      <c r="A394" s="21"/>
      <c r="B394" s="21" t="s">
        <v>1501</v>
      </c>
      <c r="C394" s="159" t="s">
        <v>1548</v>
      </c>
      <c r="D394" s="161">
        <v>85600</v>
      </c>
      <c r="E394" s="161">
        <v>620</v>
      </c>
      <c r="F394" s="161">
        <v>138</v>
      </c>
      <c r="G394" s="161" t="s">
        <v>1549</v>
      </c>
      <c r="H394" s="161" t="s">
        <v>183</v>
      </c>
      <c r="I394" s="161">
        <v>67</v>
      </c>
      <c r="J394" s="161" t="s">
        <v>389</v>
      </c>
      <c r="K394" s="21" t="s">
        <v>106</v>
      </c>
      <c r="L394" s="161" t="s">
        <v>3380</v>
      </c>
      <c r="M394" s="21" t="s">
        <v>1332</v>
      </c>
      <c r="N394" s="161" t="s">
        <v>67</v>
      </c>
      <c r="O394" s="21" t="s">
        <v>68</v>
      </c>
      <c r="P394" s="161" t="s">
        <v>109</v>
      </c>
      <c r="Q394" s="21" t="s">
        <v>1323</v>
      </c>
      <c r="R394" s="161" t="s">
        <v>1440</v>
      </c>
      <c r="S394" s="161" t="s">
        <v>1325</v>
      </c>
      <c r="T394" s="161" t="s">
        <v>390</v>
      </c>
      <c r="U394" s="161" t="s">
        <v>73</v>
      </c>
      <c r="V394" s="21" t="s">
        <v>74</v>
      </c>
      <c r="W394" s="21" t="s">
        <v>257</v>
      </c>
      <c r="X394" s="161" t="s">
        <v>496</v>
      </c>
      <c r="Y394" s="161">
        <v>0.04</v>
      </c>
      <c r="Z394" s="161">
        <v>15</v>
      </c>
      <c r="AA394" s="161" t="s">
        <v>77</v>
      </c>
      <c r="AB394" s="161" t="s">
        <v>391</v>
      </c>
      <c r="AC394" s="266" t="str">
        <f>HYPERLINK("https://gcsvt.ru/svetodiodnyie-svetilniki/svt-str-mpro-max-155w-65-cri80-5700k-quattro/","Ссылка")</f>
        <v>Ссылка</v>
      </c>
      <c r="AD394" s="170" t="s">
        <v>2859</v>
      </c>
    </row>
    <row r="395" spans="1:30" s="12" customFormat="1" ht="39.950000000000003" customHeight="1" collapsed="1" x14ac:dyDescent="0.25">
      <c r="A395" s="102"/>
      <c r="B395" s="195" t="s">
        <v>4009</v>
      </c>
      <c r="C395" s="202"/>
      <c r="D395" s="69"/>
      <c r="E395" s="69"/>
      <c r="F395" s="69"/>
      <c r="G395" s="69"/>
      <c r="H395" s="69"/>
      <c r="I395" s="69"/>
      <c r="J395" s="69"/>
      <c r="K395" s="68"/>
      <c r="L395" s="69"/>
      <c r="M395" s="68"/>
      <c r="N395" s="69"/>
      <c r="O395" s="68"/>
      <c r="P395" s="69"/>
      <c r="Q395" s="68"/>
      <c r="R395" s="69"/>
      <c r="S395" s="69"/>
      <c r="T395" s="69"/>
      <c r="U395" s="69"/>
      <c r="V395" s="68"/>
      <c r="W395" s="68"/>
      <c r="X395" s="69"/>
      <c r="Y395" s="69"/>
      <c r="Z395" s="69"/>
      <c r="AA395" s="69"/>
      <c r="AB395" s="69"/>
      <c r="AC395" s="227"/>
      <c r="AD395" s="87"/>
    </row>
    <row r="396" spans="1:30" s="12" customFormat="1" ht="39.950000000000003" hidden="1" customHeight="1" outlineLevel="1" x14ac:dyDescent="0.25">
      <c r="A396" s="5"/>
      <c r="B396" s="22" t="s">
        <v>2094</v>
      </c>
      <c r="C396" s="80" t="s">
        <v>2095</v>
      </c>
      <c r="D396" s="12">
        <v>3200</v>
      </c>
      <c r="E396" s="12">
        <v>29</v>
      </c>
      <c r="F396" s="12">
        <v>110</v>
      </c>
      <c r="G396" s="12" t="s">
        <v>2096</v>
      </c>
      <c r="H396" s="12" t="s">
        <v>2097</v>
      </c>
      <c r="I396" s="12">
        <v>20</v>
      </c>
      <c r="J396" s="12" t="s">
        <v>389</v>
      </c>
      <c r="K396" s="1" t="s">
        <v>106</v>
      </c>
      <c r="L396" s="12" t="s">
        <v>1618</v>
      </c>
      <c r="M396" s="1" t="s">
        <v>568</v>
      </c>
      <c r="N396" s="12" t="s">
        <v>67</v>
      </c>
      <c r="O396" s="1" t="s">
        <v>2060</v>
      </c>
      <c r="P396" s="12" t="s">
        <v>109</v>
      </c>
      <c r="Q396" s="1" t="s">
        <v>1750</v>
      </c>
      <c r="R396" s="12">
        <v>80</v>
      </c>
      <c r="S396" s="12" t="s">
        <v>2098</v>
      </c>
      <c r="T396" s="12" t="s">
        <v>141</v>
      </c>
      <c r="U396" s="12" t="s">
        <v>2007</v>
      </c>
      <c r="V396" s="1" t="s">
        <v>1943</v>
      </c>
      <c r="W396" s="1" t="s">
        <v>2099</v>
      </c>
      <c r="X396" s="12" t="s">
        <v>2100</v>
      </c>
      <c r="Y396" s="12">
        <v>0.01</v>
      </c>
      <c r="Z396" s="12">
        <v>4</v>
      </c>
      <c r="AA396" s="12" t="s">
        <v>2011</v>
      </c>
      <c r="AB396" s="12" t="s">
        <v>114</v>
      </c>
      <c r="AC396" s="14" t="str">
        <f>HYPERLINK("https://gcsvt.ru/svetodiodnyie-svetilniki/svt-med-bh-29w-10w-up-down-4000k/","Ссылка")</f>
        <v>Ссылка</v>
      </c>
      <c r="AD396" s="86">
        <v>8959</v>
      </c>
    </row>
    <row r="397" spans="1:30" s="161" customFormat="1" ht="39.950000000000003" hidden="1" customHeight="1" outlineLevel="1" x14ac:dyDescent="0.25">
      <c r="A397" s="21"/>
      <c r="B397" s="21"/>
      <c r="C397" s="159"/>
      <c r="K397" s="21"/>
      <c r="M397" s="21"/>
      <c r="O397" s="21"/>
      <c r="Q397" s="21"/>
      <c r="V397" s="21"/>
      <c r="W397" s="21"/>
      <c r="AC397" s="228"/>
      <c r="AD397" s="170"/>
    </row>
    <row r="398" spans="1:30" s="161" customFormat="1" ht="39.950000000000003" customHeight="1" x14ac:dyDescent="0.25">
      <c r="A398" s="207" t="s">
        <v>3990</v>
      </c>
      <c r="B398" s="182"/>
      <c r="C398" s="183"/>
      <c r="D398" s="174"/>
      <c r="E398" s="174"/>
      <c r="F398" s="174"/>
      <c r="G398" s="174"/>
      <c r="H398" s="174"/>
      <c r="I398" s="174"/>
      <c r="J398" s="174"/>
      <c r="K398" s="113"/>
      <c r="L398" s="174"/>
      <c r="M398" s="113"/>
      <c r="N398" s="174"/>
      <c r="O398" s="113"/>
      <c r="P398" s="174"/>
      <c r="Q398" s="113"/>
      <c r="R398" s="174"/>
      <c r="S398" s="174"/>
      <c r="T398" s="174"/>
      <c r="U398" s="174"/>
      <c r="V398" s="113"/>
      <c r="W398" s="113"/>
      <c r="X398" s="174"/>
      <c r="Y398" s="174"/>
      <c r="Z398" s="174"/>
      <c r="AA398" s="174"/>
      <c r="AB398" s="174"/>
      <c r="AC398" s="224"/>
      <c r="AD398" s="175"/>
    </row>
    <row r="399" spans="1:30" s="161" customFormat="1" ht="39.950000000000003" customHeight="1" collapsed="1" x14ac:dyDescent="0.25">
      <c r="A399" s="101"/>
      <c r="B399" s="195" t="s">
        <v>4621</v>
      </c>
      <c r="C399" s="179"/>
      <c r="D399" s="163"/>
      <c r="E399" s="163"/>
      <c r="F399" s="163"/>
      <c r="G399" s="163"/>
      <c r="H399" s="163"/>
      <c r="I399" s="163"/>
      <c r="J399" s="163"/>
      <c r="K399" s="75"/>
      <c r="L399" s="163"/>
      <c r="M399" s="75"/>
      <c r="N399" s="163"/>
      <c r="O399" s="75"/>
      <c r="P399" s="163"/>
      <c r="Q399" s="75"/>
      <c r="R399" s="163"/>
      <c r="S399" s="163"/>
      <c r="T399" s="163"/>
      <c r="U399" s="163"/>
      <c r="V399" s="75"/>
      <c r="W399" s="75"/>
      <c r="X399" s="163"/>
      <c r="Y399" s="163"/>
      <c r="Z399" s="163"/>
      <c r="AA399" s="163"/>
      <c r="AB399" s="163"/>
      <c r="AC399" s="225"/>
      <c r="AD399" s="164"/>
    </row>
    <row r="400" spans="1:30" s="161" customFormat="1" ht="39.950000000000003" hidden="1" customHeight="1" outlineLevel="1" x14ac:dyDescent="0.25">
      <c r="A400" s="6"/>
      <c r="B400" s="113" t="s">
        <v>3075</v>
      </c>
      <c r="C400" s="203" t="s">
        <v>3361</v>
      </c>
      <c r="D400" s="174">
        <v>7300</v>
      </c>
      <c r="E400" s="174">
        <v>50</v>
      </c>
      <c r="F400" s="174">
        <v>146</v>
      </c>
      <c r="G400" s="174" t="s">
        <v>3365</v>
      </c>
      <c r="H400" s="174" t="s">
        <v>3078</v>
      </c>
      <c r="I400" s="174">
        <v>67</v>
      </c>
      <c r="J400" s="174" t="s">
        <v>105</v>
      </c>
      <c r="K400" s="113" t="s">
        <v>65</v>
      </c>
      <c r="L400" s="174" t="s">
        <v>3380</v>
      </c>
      <c r="M400" s="113" t="s">
        <v>66</v>
      </c>
      <c r="N400" s="174" t="s">
        <v>67</v>
      </c>
      <c r="O400" s="113" t="s">
        <v>3082</v>
      </c>
      <c r="P400" s="174" t="s">
        <v>109</v>
      </c>
      <c r="Q400" s="113" t="s">
        <v>2288</v>
      </c>
      <c r="R400" s="174">
        <v>70</v>
      </c>
      <c r="S400" s="174" t="s">
        <v>197</v>
      </c>
      <c r="T400" s="174" t="s">
        <v>174</v>
      </c>
      <c r="U400" s="174" t="s">
        <v>73</v>
      </c>
      <c r="V400" s="113" t="s">
        <v>3079</v>
      </c>
      <c r="W400" s="113" t="s">
        <v>3080</v>
      </c>
      <c r="X400" s="174" t="s">
        <v>3081</v>
      </c>
      <c r="Y400" s="174">
        <v>0.02</v>
      </c>
      <c r="Z400" s="174">
        <v>1.9</v>
      </c>
      <c r="AA400" s="174" t="s">
        <v>77</v>
      </c>
      <c r="AB400" s="174" t="s">
        <v>114</v>
      </c>
      <c r="AC400" s="267" t="str">
        <f>HYPERLINK("https://gcsvt.ru/svetodiodnyie-svetilniki/svt-str-dku-city-50-157x57/","Ссылка")</f>
        <v>Ссылка</v>
      </c>
      <c r="AD400" s="175">
        <v>22236</v>
      </c>
    </row>
    <row r="401" spans="1:30" s="161" customFormat="1" ht="39.950000000000003" hidden="1" customHeight="1" outlineLevel="1" x14ac:dyDescent="0.25">
      <c r="A401" s="6"/>
      <c r="B401" s="21" t="s">
        <v>3075</v>
      </c>
      <c r="C401" s="160" t="s">
        <v>3076</v>
      </c>
      <c r="D401" s="161">
        <v>11710</v>
      </c>
      <c r="E401" s="161">
        <v>80</v>
      </c>
      <c r="F401" s="161">
        <v>146</v>
      </c>
      <c r="G401" s="161" t="s">
        <v>3085</v>
      </c>
      <c r="H401" s="161" t="s">
        <v>3078</v>
      </c>
      <c r="I401" s="161">
        <v>67</v>
      </c>
      <c r="J401" s="161" t="s">
        <v>105</v>
      </c>
      <c r="K401" s="21" t="s">
        <v>65</v>
      </c>
      <c r="L401" s="161" t="s">
        <v>3380</v>
      </c>
      <c r="M401" s="21" t="s">
        <v>66</v>
      </c>
      <c r="N401" s="161" t="s">
        <v>67</v>
      </c>
      <c r="O401" s="21" t="s">
        <v>3082</v>
      </c>
      <c r="P401" s="161" t="s">
        <v>109</v>
      </c>
      <c r="Q401" s="21" t="s">
        <v>2288</v>
      </c>
      <c r="R401" s="161">
        <v>70</v>
      </c>
      <c r="S401" s="161" t="s">
        <v>197</v>
      </c>
      <c r="T401" s="161" t="s">
        <v>390</v>
      </c>
      <c r="U401" s="161" t="s">
        <v>73</v>
      </c>
      <c r="V401" s="21" t="s">
        <v>3079</v>
      </c>
      <c r="W401" s="21" t="s">
        <v>3080</v>
      </c>
      <c r="X401" s="161" t="s">
        <v>3081</v>
      </c>
      <c r="Y401" s="161">
        <v>0.02</v>
      </c>
      <c r="Z401" s="161">
        <v>1.9</v>
      </c>
      <c r="AA401" s="161" t="s">
        <v>77</v>
      </c>
      <c r="AB401" s="161" t="s">
        <v>114</v>
      </c>
      <c r="AC401" s="266" t="str">
        <f>HYPERLINK("https://gcsvt.ru/svetodiodnyie-svetilniki/svt-str-dku-city-80-157x57/","Ссылка")</f>
        <v>Ссылка</v>
      </c>
      <c r="AD401" s="167">
        <v>23277</v>
      </c>
    </row>
    <row r="402" spans="1:30" s="161" customFormat="1" ht="39.950000000000003" hidden="1" customHeight="1" outlineLevel="1" x14ac:dyDescent="0.25">
      <c r="A402" s="6"/>
      <c r="B402" s="113" t="s">
        <v>3075</v>
      </c>
      <c r="C402" s="203" t="s">
        <v>3077</v>
      </c>
      <c r="D402" s="174">
        <v>17530</v>
      </c>
      <c r="E402" s="174">
        <v>120</v>
      </c>
      <c r="F402" s="174">
        <v>146</v>
      </c>
      <c r="G402" s="174" t="s">
        <v>3084</v>
      </c>
      <c r="H402" s="174" t="s">
        <v>3078</v>
      </c>
      <c r="I402" s="174">
        <v>67</v>
      </c>
      <c r="J402" s="174" t="s">
        <v>105</v>
      </c>
      <c r="K402" s="113" t="s">
        <v>65</v>
      </c>
      <c r="L402" s="174" t="s">
        <v>3380</v>
      </c>
      <c r="M402" s="113" t="s">
        <v>66</v>
      </c>
      <c r="N402" s="174" t="s">
        <v>67</v>
      </c>
      <c r="O402" s="113" t="s">
        <v>3082</v>
      </c>
      <c r="P402" s="174" t="s">
        <v>109</v>
      </c>
      <c r="Q402" s="113" t="s">
        <v>2288</v>
      </c>
      <c r="R402" s="174">
        <v>70</v>
      </c>
      <c r="S402" s="174" t="s">
        <v>216</v>
      </c>
      <c r="T402" s="174" t="s">
        <v>390</v>
      </c>
      <c r="U402" s="174" t="s">
        <v>73</v>
      </c>
      <c r="V402" s="113" t="s">
        <v>3079</v>
      </c>
      <c r="W402" s="113" t="s">
        <v>3080</v>
      </c>
      <c r="X402" s="174" t="s">
        <v>3083</v>
      </c>
      <c r="Y402" s="174">
        <v>0.02</v>
      </c>
      <c r="Z402" s="174">
        <v>5.2</v>
      </c>
      <c r="AA402" s="174" t="s">
        <v>77</v>
      </c>
      <c r="AB402" s="174" t="s">
        <v>114</v>
      </c>
      <c r="AC402" s="267" t="str">
        <f>HYPERLINK("https://gcsvt.ru/svetodiodnyie-svetilniki/svt-str-dku-city-120-157x57/","Ссылка")</f>
        <v>Ссылка</v>
      </c>
      <c r="AD402" s="175">
        <v>32865</v>
      </c>
    </row>
    <row r="403" spans="1:30" s="161" customFormat="1" ht="39.950000000000003" customHeight="1" collapsed="1" x14ac:dyDescent="0.25">
      <c r="A403" s="101"/>
      <c r="B403" s="195" t="s">
        <v>4620</v>
      </c>
      <c r="C403" s="179"/>
      <c r="D403" s="163"/>
      <c r="E403" s="163"/>
      <c r="F403" s="163"/>
      <c r="G403" s="163"/>
      <c r="H403" s="163"/>
      <c r="I403" s="163"/>
      <c r="J403" s="163"/>
      <c r="K403" s="75"/>
      <c r="L403" s="163"/>
      <c r="M403" s="75"/>
      <c r="N403" s="163"/>
      <c r="O403" s="75"/>
      <c r="P403" s="163"/>
      <c r="Q403" s="75"/>
      <c r="R403" s="163"/>
      <c r="S403" s="163"/>
      <c r="T403" s="163"/>
      <c r="U403" s="163"/>
      <c r="V403" s="75"/>
      <c r="W403" s="75"/>
      <c r="X403" s="163"/>
      <c r="Y403" s="163"/>
      <c r="Z403" s="163"/>
      <c r="AA403" s="163"/>
      <c r="AB403" s="163"/>
      <c r="AC403" s="227"/>
      <c r="AD403" s="164"/>
    </row>
    <row r="404" spans="1:30" s="161" customFormat="1" ht="39.950000000000003" hidden="1" customHeight="1" outlineLevel="1" x14ac:dyDescent="0.25">
      <c r="A404" s="6"/>
      <c r="B404" s="113" t="s">
        <v>3397</v>
      </c>
      <c r="C404" s="203" t="s">
        <v>4017</v>
      </c>
      <c r="D404" s="174">
        <v>1560</v>
      </c>
      <c r="E404" s="174">
        <v>12</v>
      </c>
      <c r="F404" s="174">
        <v>130</v>
      </c>
      <c r="G404" s="174" t="s">
        <v>4227</v>
      </c>
      <c r="H404" s="174" t="s">
        <v>138</v>
      </c>
      <c r="I404" s="174">
        <v>65</v>
      </c>
      <c r="J404" s="174" t="s">
        <v>105</v>
      </c>
      <c r="K404" s="113" t="s">
        <v>106</v>
      </c>
      <c r="L404" s="174" t="s">
        <v>3380</v>
      </c>
      <c r="M404" s="113" t="s">
        <v>2107</v>
      </c>
      <c r="N404" s="174" t="s">
        <v>67</v>
      </c>
      <c r="O404" s="113" t="s">
        <v>3425</v>
      </c>
      <c r="P404" s="161" t="s">
        <v>109</v>
      </c>
      <c r="Q404" s="21" t="s">
        <v>70</v>
      </c>
      <c r="R404" s="161">
        <v>80</v>
      </c>
      <c r="S404" s="161" t="s">
        <v>3377</v>
      </c>
      <c r="T404" s="161" t="s">
        <v>1960</v>
      </c>
      <c r="U404" s="161" t="s">
        <v>73</v>
      </c>
      <c r="V404" s="21" t="s">
        <v>74</v>
      </c>
      <c r="W404" s="21" t="s">
        <v>75</v>
      </c>
      <c r="X404" s="161" t="s">
        <v>3451</v>
      </c>
      <c r="Y404" s="161">
        <v>1.0800000000000001E-2</v>
      </c>
      <c r="Z404" s="161">
        <v>0.85</v>
      </c>
      <c r="AA404" s="161" t="s">
        <v>77</v>
      </c>
      <c r="AB404" s="161" t="s">
        <v>114</v>
      </c>
      <c r="AC404" s="266" t="str">
        <f>HYPERLINK("https://gcsvt.ru/svetodiodnyie-svetilniki/svt-p-direct-300-12w/","Ссылка")</f>
        <v>Ссылка</v>
      </c>
      <c r="AD404" s="167">
        <v>3086</v>
      </c>
    </row>
    <row r="405" spans="1:30" s="161" customFormat="1" ht="39.950000000000003" hidden="1" customHeight="1" outlineLevel="1" x14ac:dyDescent="0.25">
      <c r="A405" s="6"/>
      <c r="B405" s="21" t="s">
        <v>3397</v>
      </c>
      <c r="C405" s="159" t="s">
        <v>4018</v>
      </c>
      <c r="D405" s="161">
        <v>3120</v>
      </c>
      <c r="E405" s="161">
        <v>24</v>
      </c>
      <c r="F405" s="161">
        <v>130</v>
      </c>
      <c r="G405" s="161" t="s">
        <v>4228</v>
      </c>
      <c r="H405" s="161" t="s">
        <v>138</v>
      </c>
      <c r="I405" s="167">
        <v>65</v>
      </c>
      <c r="J405" s="161" t="s">
        <v>105</v>
      </c>
      <c r="K405" s="21" t="s">
        <v>106</v>
      </c>
      <c r="L405" s="161" t="s">
        <v>3380</v>
      </c>
      <c r="M405" s="21" t="s">
        <v>2107</v>
      </c>
      <c r="N405" s="161" t="s">
        <v>67</v>
      </c>
      <c r="O405" s="21" t="s">
        <v>3425</v>
      </c>
      <c r="P405" s="161" t="s">
        <v>109</v>
      </c>
      <c r="Q405" s="21" t="s">
        <v>70</v>
      </c>
      <c r="R405" s="161">
        <v>80</v>
      </c>
      <c r="S405" s="161" t="s">
        <v>3377</v>
      </c>
      <c r="T405" s="161" t="s">
        <v>1960</v>
      </c>
      <c r="U405" s="161" t="s">
        <v>73</v>
      </c>
      <c r="V405" s="21" t="s">
        <v>74</v>
      </c>
      <c r="W405" s="21" t="s">
        <v>75</v>
      </c>
      <c r="X405" s="161" t="s">
        <v>3451</v>
      </c>
      <c r="Y405" s="161">
        <v>1.0800000000000001E-2</v>
      </c>
      <c r="Z405" s="161">
        <v>0.85</v>
      </c>
      <c r="AA405" s="161" t="s">
        <v>77</v>
      </c>
      <c r="AB405" s="161" t="s">
        <v>114</v>
      </c>
      <c r="AC405" s="266" t="str">
        <f>HYPERLINK("https://gcsvt.ru/svetodiodnyie-svetilniki/svt-p-direct-300-24w/","Ссылка")</f>
        <v>Ссылка</v>
      </c>
      <c r="AD405" s="167">
        <v>4301</v>
      </c>
    </row>
    <row r="406" spans="1:30" s="161" customFormat="1" ht="39.950000000000003" hidden="1" customHeight="1" outlineLevel="1" x14ac:dyDescent="0.25">
      <c r="A406" s="6"/>
      <c r="B406" s="21" t="s">
        <v>3397</v>
      </c>
      <c r="C406" s="159" t="s">
        <v>4019</v>
      </c>
      <c r="D406" s="161">
        <v>3120</v>
      </c>
      <c r="E406" s="161">
        <v>24</v>
      </c>
      <c r="F406" s="161">
        <v>130</v>
      </c>
      <c r="G406" s="161" t="s">
        <v>4229</v>
      </c>
      <c r="H406" s="161" t="s">
        <v>138</v>
      </c>
      <c r="I406" s="167">
        <v>65</v>
      </c>
      <c r="J406" s="161" t="s">
        <v>105</v>
      </c>
      <c r="K406" s="21" t="s">
        <v>106</v>
      </c>
      <c r="L406" s="161" t="s">
        <v>3380</v>
      </c>
      <c r="M406" s="21" t="s">
        <v>2107</v>
      </c>
      <c r="N406" s="161" t="s">
        <v>67</v>
      </c>
      <c r="O406" s="21" t="s">
        <v>3425</v>
      </c>
      <c r="P406" s="161" t="s">
        <v>109</v>
      </c>
      <c r="Q406" s="21" t="s">
        <v>70</v>
      </c>
      <c r="R406" s="161">
        <v>80</v>
      </c>
      <c r="S406" s="161" t="s">
        <v>3377</v>
      </c>
      <c r="T406" s="161" t="s">
        <v>1960</v>
      </c>
      <c r="U406" s="161" t="s">
        <v>73</v>
      </c>
      <c r="V406" s="21" t="s">
        <v>74</v>
      </c>
      <c r="W406" s="21" t="s">
        <v>75</v>
      </c>
      <c r="X406" s="161" t="s">
        <v>3452</v>
      </c>
      <c r="Y406" s="161">
        <v>1.0800000000000001E-2</v>
      </c>
      <c r="Z406" s="161">
        <v>1.55</v>
      </c>
      <c r="AA406" s="161" t="s">
        <v>77</v>
      </c>
      <c r="AB406" s="161" t="s">
        <v>114</v>
      </c>
      <c r="AC406" s="266" t="str">
        <f>HYPERLINK("https://gcsvt.ru/svetodiodnyie-svetilniki/svt-p-direct-600-24w/","Ссылка")</f>
        <v>Ссылка</v>
      </c>
      <c r="AD406" s="167">
        <v>5185</v>
      </c>
    </row>
    <row r="407" spans="1:30" s="161" customFormat="1" ht="39.950000000000003" hidden="1" customHeight="1" outlineLevel="1" x14ac:dyDescent="0.25">
      <c r="A407" s="6"/>
      <c r="B407" s="21" t="s">
        <v>3397</v>
      </c>
      <c r="C407" s="159" t="s">
        <v>4020</v>
      </c>
      <c r="D407" s="161">
        <v>6240</v>
      </c>
      <c r="E407" s="161">
        <v>48</v>
      </c>
      <c r="F407" s="161">
        <v>130</v>
      </c>
      <c r="G407" s="161" t="s">
        <v>4230</v>
      </c>
      <c r="H407" s="161" t="s">
        <v>138</v>
      </c>
      <c r="I407" s="167">
        <v>65</v>
      </c>
      <c r="J407" s="161" t="s">
        <v>105</v>
      </c>
      <c r="K407" s="21" t="s">
        <v>106</v>
      </c>
      <c r="L407" s="161" t="s">
        <v>3380</v>
      </c>
      <c r="M407" s="21" t="s">
        <v>2107</v>
      </c>
      <c r="N407" s="161" t="s">
        <v>67</v>
      </c>
      <c r="O407" s="21" t="s">
        <v>3425</v>
      </c>
      <c r="P407" s="161" t="s">
        <v>109</v>
      </c>
      <c r="Q407" s="21" t="s">
        <v>70</v>
      </c>
      <c r="R407" s="161">
        <v>80</v>
      </c>
      <c r="S407" s="161" t="s">
        <v>3377</v>
      </c>
      <c r="T407" s="161" t="s">
        <v>1960</v>
      </c>
      <c r="U407" s="161" t="s">
        <v>73</v>
      </c>
      <c r="V407" s="21" t="s">
        <v>74</v>
      </c>
      <c r="W407" s="21" t="s">
        <v>75</v>
      </c>
      <c r="X407" s="161" t="s">
        <v>3452</v>
      </c>
      <c r="Y407" s="161">
        <v>1.0800000000000001E-2</v>
      </c>
      <c r="Z407" s="161">
        <v>1.55</v>
      </c>
      <c r="AA407" s="161" t="s">
        <v>77</v>
      </c>
      <c r="AB407" s="161" t="s">
        <v>114</v>
      </c>
      <c r="AC407" s="266" t="str">
        <f>HYPERLINK("https://gcsvt.ru/svetodiodnyie-svetilniki/svt-p-direct-600-48w/","Ссылка")</f>
        <v>Ссылка</v>
      </c>
      <c r="AD407" s="167">
        <v>5780</v>
      </c>
    </row>
    <row r="408" spans="1:30" s="161" customFormat="1" ht="39.950000000000003" hidden="1" customHeight="1" outlineLevel="1" x14ac:dyDescent="0.25">
      <c r="A408" s="6"/>
      <c r="B408" s="21" t="s">
        <v>3397</v>
      </c>
      <c r="C408" s="159" t="s">
        <v>4021</v>
      </c>
      <c r="D408" s="161">
        <v>4320</v>
      </c>
      <c r="E408" s="161">
        <v>32</v>
      </c>
      <c r="F408" s="161">
        <v>135</v>
      </c>
      <c r="G408" s="161" t="s">
        <v>4231</v>
      </c>
      <c r="H408" s="161" t="s">
        <v>138</v>
      </c>
      <c r="I408" s="167">
        <v>65</v>
      </c>
      <c r="J408" s="161" t="s">
        <v>105</v>
      </c>
      <c r="K408" s="21" t="s">
        <v>106</v>
      </c>
      <c r="L408" s="161" t="s">
        <v>3380</v>
      </c>
      <c r="M408" s="21" t="s">
        <v>2107</v>
      </c>
      <c r="N408" s="161" t="s">
        <v>67</v>
      </c>
      <c r="O408" s="21" t="s">
        <v>3425</v>
      </c>
      <c r="P408" s="161" t="s">
        <v>109</v>
      </c>
      <c r="Q408" s="21" t="s">
        <v>70</v>
      </c>
      <c r="R408" s="161">
        <v>80</v>
      </c>
      <c r="S408" s="161" t="s">
        <v>3377</v>
      </c>
      <c r="T408" s="161" t="s">
        <v>1585</v>
      </c>
      <c r="U408" s="161" t="s">
        <v>73</v>
      </c>
      <c r="V408" s="21" t="s">
        <v>74</v>
      </c>
      <c r="W408" s="21" t="s">
        <v>75</v>
      </c>
      <c r="X408" s="161" t="s">
        <v>3453</v>
      </c>
      <c r="Y408" s="161">
        <v>1.0800000000000001E-2</v>
      </c>
      <c r="Z408" s="161">
        <v>1.8</v>
      </c>
      <c r="AA408" s="161" t="s">
        <v>77</v>
      </c>
      <c r="AB408" s="161" t="s">
        <v>114</v>
      </c>
      <c r="AC408" s="266" t="str">
        <f>HYPERLINK("https://gcsvt.ru/svetodiodnyie-svetilniki/svt-p-direct-750-32w/","Ссылка")</f>
        <v>Ссылка</v>
      </c>
      <c r="AD408" s="167">
        <v>5959</v>
      </c>
    </row>
    <row r="409" spans="1:30" s="161" customFormat="1" ht="39.950000000000003" hidden="1" customHeight="1" outlineLevel="1" x14ac:dyDescent="0.25">
      <c r="A409" s="6"/>
      <c r="B409" s="21" t="s">
        <v>3397</v>
      </c>
      <c r="C409" s="160" t="s">
        <v>4022</v>
      </c>
      <c r="D409" s="161">
        <v>8640</v>
      </c>
      <c r="E409" s="161">
        <v>64</v>
      </c>
      <c r="F409" s="161">
        <v>135</v>
      </c>
      <c r="G409" s="161" t="s">
        <v>4237</v>
      </c>
      <c r="H409" s="161" t="s">
        <v>138</v>
      </c>
      <c r="I409" s="167">
        <v>65</v>
      </c>
      <c r="J409" s="161" t="s">
        <v>105</v>
      </c>
      <c r="K409" s="21" t="s">
        <v>106</v>
      </c>
      <c r="L409" s="161" t="s">
        <v>3380</v>
      </c>
      <c r="M409" s="21" t="s">
        <v>2107</v>
      </c>
      <c r="N409" s="161" t="s">
        <v>67</v>
      </c>
      <c r="O409" s="21" t="s">
        <v>3425</v>
      </c>
      <c r="P409" s="161" t="s">
        <v>109</v>
      </c>
      <c r="Q409" s="21" t="s">
        <v>70</v>
      </c>
      <c r="R409" s="161">
        <v>80</v>
      </c>
      <c r="S409" s="161" t="s">
        <v>3377</v>
      </c>
      <c r="T409" s="161" t="s">
        <v>1585</v>
      </c>
      <c r="U409" s="161" t="s">
        <v>73</v>
      </c>
      <c r="V409" s="21" t="s">
        <v>74</v>
      </c>
      <c r="W409" s="21" t="s">
        <v>75</v>
      </c>
      <c r="X409" s="161" t="s">
        <v>3453</v>
      </c>
      <c r="Y409" s="161">
        <v>1.0800000000000001E-2</v>
      </c>
      <c r="Z409" s="161">
        <v>1.8</v>
      </c>
      <c r="AA409" s="161" t="s">
        <v>77</v>
      </c>
      <c r="AB409" s="161" t="s">
        <v>114</v>
      </c>
      <c r="AC409" s="266" t="str">
        <f>HYPERLINK("https://gcsvt.ru/svetodiodnyie-svetilniki/svt-p-direct-750-64w/","Ссылка")</f>
        <v>Ссылка</v>
      </c>
      <c r="AD409" s="167">
        <v>6707</v>
      </c>
    </row>
    <row r="410" spans="1:30" s="161" customFormat="1" ht="39.950000000000003" hidden="1" customHeight="1" outlineLevel="1" x14ac:dyDescent="0.25">
      <c r="A410" s="6"/>
      <c r="B410" s="21" t="s">
        <v>3397</v>
      </c>
      <c r="C410" s="160" t="s">
        <v>4023</v>
      </c>
      <c r="D410" s="161">
        <v>4680</v>
      </c>
      <c r="E410" s="161">
        <v>36</v>
      </c>
      <c r="F410" s="161">
        <v>130</v>
      </c>
      <c r="G410" s="161" t="s">
        <v>4232</v>
      </c>
      <c r="H410" s="161" t="s">
        <v>138</v>
      </c>
      <c r="I410" s="167">
        <v>65</v>
      </c>
      <c r="J410" s="161" t="s">
        <v>105</v>
      </c>
      <c r="K410" s="21" t="s">
        <v>106</v>
      </c>
      <c r="L410" s="161" t="s">
        <v>3380</v>
      </c>
      <c r="M410" s="21" t="s">
        <v>2107</v>
      </c>
      <c r="N410" s="161" t="s">
        <v>67</v>
      </c>
      <c r="O410" s="21" t="s">
        <v>3425</v>
      </c>
      <c r="P410" s="161" t="s">
        <v>109</v>
      </c>
      <c r="Q410" s="21" t="s">
        <v>70</v>
      </c>
      <c r="R410" s="161">
        <v>80</v>
      </c>
      <c r="S410" s="161" t="s">
        <v>3377</v>
      </c>
      <c r="T410" s="161" t="s">
        <v>1960</v>
      </c>
      <c r="U410" s="161" t="s">
        <v>73</v>
      </c>
      <c r="V410" s="21" t="s">
        <v>74</v>
      </c>
      <c r="W410" s="21" t="s">
        <v>75</v>
      </c>
      <c r="X410" s="161" t="s">
        <v>3454</v>
      </c>
      <c r="Y410" s="161">
        <v>1.0800000000000001E-2</v>
      </c>
      <c r="Z410" s="161">
        <v>2.1</v>
      </c>
      <c r="AA410" s="161" t="s">
        <v>77</v>
      </c>
      <c r="AB410" s="161" t="s">
        <v>114</v>
      </c>
      <c r="AC410" s="266" t="str">
        <f>HYPERLINK("https://gcsvt.ru/svetodiodnyie-svetilniki/svt-p-direct-900-36w/","Ссылка")</f>
        <v>Ссылка</v>
      </c>
      <c r="AD410" s="167">
        <v>6367</v>
      </c>
    </row>
    <row r="411" spans="1:30" s="161" customFormat="1" ht="39.950000000000003" hidden="1" customHeight="1" outlineLevel="1" x14ac:dyDescent="0.25">
      <c r="A411" s="6"/>
      <c r="B411" s="21" t="s">
        <v>3397</v>
      </c>
      <c r="C411" s="214" t="s">
        <v>3394</v>
      </c>
      <c r="D411" s="161">
        <v>9360</v>
      </c>
      <c r="E411" s="161">
        <v>72</v>
      </c>
      <c r="F411" s="161">
        <v>130</v>
      </c>
      <c r="G411" s="161" t="s">
        <v>3430</v>
      </c>
      <c r="H411" s="161" t="s">
        <v>138</v>
      </c>
      <c r="I411" s="167">
        <v>65</v>
      </c>
      <c r="J411" s="161" t="s">
        <v>105</v>
      </c>
      <c r="K411" s="21" t="s">
        <v>106</v>
      </c>
      <c r="L411" s="161" t="s">
        <v>3380</v>
      </c>
      <c r="M411" s="21" t="s">
        <v>2107</v>
      </c>
      <c r="N411" s="161" t="s">
        <v>67</v>
      </c>
      <c r="O411" s="21" t="s">
        <v>3425</v>
      </c>
      <c r="P411" s="161" t="s">
        <v>109</v>
      </c>
      <c r="Q411" s="21" t="s">
        <v>70</v>
      </c>
      <c r="R411" s="161">
        <v>80</v>
      </c>
      <c r="S411" s="161" t="s">
        <v>3377</v>
      </c>
      <c r="T411" s="161" t="s">
        <v>1960</v>
      </c>
      <c r="U411" s="161" t="s">
        <v>73</v>
      </c>
      <c r="V411" s="21" t="s">
        <v>74</v>
      </c>
      <c r="W411" s="21" t="s">
        <v>75</v>
      </c>
      <c r="X411" s="161" t="s">
        <v>3454</v>
      </c>
      <c r="Y411" s="161">
        <v>3.2399999999999998E-2</v>
      </c>
      <c r="Z411" s="161">
        <v>2.1</v>
      </c>
      <c r="AA411" s="161" t="s">
        <v>77</v>
      </c>
      <c r="AB411" s="161" t="s">
        <v>114</v>
      </c>
      <c r="AC411" s="266" t="str">
        <f>HYPERLINK("https://gcsvt.ru/svetodiodnyie-svetilniki/svt-p-direct-900-72w/","Ссылка")</f>
        <v>Ссылка</v>
      </c>
      <c r="AD411" s="167">
        <v>9044</v>
      </c>
    </row>
    <row r="412" spans="1:30" s="161" customFormat="1" ht="39.950000000000003" hidden="1" customHeight="1" outlineLevel="1" x14ac:dyDescent="0.25">
      <c r="A412" s="6"/>
      <c r="B412" s="21" t="s">
        <v>3397</v>
      </c>
      <c r="C412" s="160" t="s">
        <v>4024</v>
      </c>
      <c r="D412" s="161">
        <v>6240</v>
      </c>
      <c r="E412" s="161">
        <v>48</v>
      </c>
      <c r="F412" s="161">
        <v>130</v>
      </c>
      <c r="G412" s="161" t="s">
        <v>4233</v>
      </c>
      <c r="H412" s="161" t="s">
        <v>138</v>
      </c>
      <c r="I412" s="167">
        <v>65</v>
      </c>
      <c r="J412" s="161" t="s">
        <v>105</v>
      </c>
      <c r="K412" s="21" t="s">
        <v>106</v>
      </c>
      <c r="L412" s="161" t="s">
        <v>3380</v>
      </c>
      <c r="M412" s="21" t="s">
        <v>2107</v>
      </c>
      <c r="N412" s="161" t="s">
        <v>67</v>
      </c>
      <c r="O412" s="21" t="s">
        <v>3425</v>
      </c>
      <c r="P412" s="161" t="s">
        <v>109</v>
      </c>
      <c r="Q412" s="21" t="s">
        <v>70</v>
      </c>
      <c r="R412" s="161">
        <v>80</v>
      </c>
      <c r="S412" s="161" t="s">
        <v>3377</v>
      </c>
      <c r="T412" s="161" t="s">
        <v>1960</v>
      </c>
      <c r="U412" s="161" t="s">
        <v>73</v>
      </c>
      <c r="V412" s="21" t="s">
        <v>74</v>
      </c>
      <c r="W412" s="21" t="s">
        <v>75</v>
      </c>
      <c r="X412" s="161" t="s">
        <v>3455</v>
      </c>
      <c r="Y412" s="161">
        <v>1.0800000000000001E-2</v>
      </c>
      <c r="Z412" s="161">
        <v>2.6</v>
      </c>
      <c r="AA412" s="161" t="s">
        <v>77</v>
      </c>
      <c r="AB412" s="161" t="s">
        <v>114</v>
      </c>
      <c r="AC412" s="266" t="str">
        <f>HYPERLINK("https://gcsvt.ru/svetodiodnyie-svetilniki/svt-p-direct-1200-48w/","Ссылка")</f>
        <v>Ссылка</v>
      </c>
      <c r="AD412" s="167">
        <v>7795</v>
      </c>
    </row>
    <row r="413" spans="1:30" s="161" customFormat="1" ht="39.950000000000003" hidden="1" customHeight="1" outlineLevel="1" x14ac:dyDescent="0.25">
      <c r="A413" s="6"/>
      <c r="B413" s="21" t="s">
        <v>3397</v>
      </c>
      <c r="C413" s="159" t="s">
        <v>4025</v>
      </c>
      <c r="D413" s="161">
        <v>12480</v>
      </c>
      <c r="E413" s="161">
        <v>96</v>
      </c>
      <c r="F413" s="161">
        <v>130</v>
      </c>
      <c r="G413" s="161" t="s">
        <v>4234</v>
      </c>
      <c r="H413" s="161" t="s">
        <v>138</v>
      </c>
      <c r="I413" s="167">
        <v>65</v>
      </c>
      <c r="J413" s="161" t="s">
        <v>105</v>
      </c>
      <c r="K413" s="21" t="s">
        <v>106</v>
      </c>
      <c r="L413" s="161" t="s">
        <v>3380</v>
      </c>
      <c r="M413" s="21" t="s">
        <v>2107</v>
      </c>
      <c r="N413" s="161" t="s">
        <v>67</v>
      </c>
      <c r="O413" s="21" t="s">
        <v>3425</v>
      </c>
      <c r="P413" s="161" t="s">
        <v>109</v>
      </c>
      <c r="Q413" s="21" t="s">
        <v>70</v>
      </c>
      <c r="R413" s="161">
        <v>80</v>
      </c>
      <c r="S413" s="161" t="s">
        <v>3377</v>
      </c>
      <c r="T413" s="161" t="s">
        <v>1960</v>
      </c>
      <c r="U413" s="161" t="s">
        <v>73</v>
      </c>
      <c r="V413" s="21" t="s">
        <v>74</v>
      </c>
      <c r="W413" s="21" t="s">
        <v>75</v>
      </c>
      <c r="X413" s="161" t="s">
        <v>3455</v>
      </c>
      <c r="Y413" s="161">
        <v>1.0800000000000001E-2</v>
      </c>
      <c r="Z413" s="161">
        <v>2.6</v>
      </c>
      <c r="AA413" s="161" t="s">
        <v>77</v>
      </c>
      <c r="AB413" s="161" t="s">
        <v>114</v>
      </c>
      <c r="AC413" s="266" t="str">
        <f>HYPERLINK("https://gcsvt.ru/svetodiodnyie-svetilniki/svt-p-direct-1200-96w/","Ссылка")</f>
        <v>Ссылка</v>
      </c>
      <c r="AD413" s="167">
        <v>10710</v>
      </c>
    </row>
    <row r="414" spans="1:30" s="161" customFormat="1" ht="39.950000000000003" hidden="1" customHeight="1" outlineLevel="1" x14ac:dyDescent="0.25">
      <c r="A414" s="6"/>
      <c r="B414" s="21" t="s">
        <v>3397</v>
      </c>
      <c r="C414" s="159" t="s">
        <v>4026</v>
      </c>
      <c r="D414" s="161">
        <v>8640</v>
      </c>
      <c r="E414" s="161">
        <v>64</v>
      </c>
      <c r="F414" s="161">
        <v>135</v>
      </c>
      <c r="G414" s="161" t="s">
        <v>4235</v>
      </c>
      <c r="H414" s="161" t="s">
        <v>138</v>
      </c>
      <c r="I414" s="167">
        <v>65</v>
      </c>
      <c r="J414" s="161" t="s">
        <v>105</v>
      </c>
      <c r="K414" s="21" t="s">
        <v>106</v>
      </c>
      <c r="L414" s="161" t="s">
        <v>3380</v>
      </c>
      <c r="M414" s="21" t="s">
        <v>2107</v>
      </c>
      <c r="N414" s="161" t="s">
        <v>67</v>
      </c>
      <c r="O414" s="21" t="s">
        <v>3425</v>
      </c>
      <c r="P414" s="161" t="s">
        <v>109</v>
      </c>
      <c r="Q414" s="21" t="s">
        <v>70</v>
      </c>
      <c r="R414" s="161">
        <v>80</v>
      </c>
      <c r="S414" s="161" t="s">
        <v>3377</v>
      </c>
      <c r="T414" s="161" t="s">
        <v>1585</v>
      </c>
      <c r="U414" s="161" t="s">
        <v>73</v>
      </c>
      <c r="V414" s="21" t="s">
        <v>74</v>
      </c>
      <c r="W414" s="21" t="s">
        <v>75</v>
      </c>
      <c r="X414" s="161" t="s">
        <v>3456</v>
      </c>
      <c r="Y414" s="161">
        <v>1.0800000000000001E-2</v>
      </c>
      <c r="Z414" s="161">
        <v>3.15</v>
      </c>
      <c r="AA414" s="161" t="s">
        <v>77</v>
      </c>
      <c r="AB414" s="161" t="s">
        <v>114</v>
      </c>
      <c r="AC414" s="266" t="str">
        <f>HYPERLINK("https://gcsvt.ru/svetodiodnyie-svetilniki/svt-p-direct-1500-64w/","Ссылка")</f>
        <v>Ссылка</v>
      </c>
      <c r="AD414" s="167">
        <v>8789</v>
      </c>
    </row>
    <row r="415" spans="1:30" s="161" customFormat="1" ht="39.950000000000003" hidden="1" customHeight="1" outlineLevel="1" x14ac:dyDescent="0.25">
      <c r="A415" s="6"/>
      <c r="B415" s="21" t="s">
        <v>3397</v>
      </c>
      <c r="C415" s="160" t="s">
        <v>4027</v>
      </c>
      <c r="D415" s="161">
        <v>17280</v>
      </c>
      <c r="E415" s="161">
        <v>128</v>
      </c>
      <c r="F415" s="161">
        <v>135</v>
      </c>
      <c r="G415" s="161" t="s">
        <v>4236</v>
      </c>
      <c r="H415" s="161" t="s">
        <v>138</v>
      </c>
      <c r="I415" s="167">
        <v>65</v>
      </c>
      <c r="J415" s="161" t="s">
        <v>105</v>
      </c>
      <c r="K415" s="21" t="s">
        <v>106</v>
      </c>
      <c r="L415" s="161" t="s">
        <v>3380</v>
      </c>
      <c r="M415" s="21" t="s">
        <v>2107</v>
      </c>
      <c r="N415" s="161" t="s">
        <v>67</v>
      </c>
      <c r="O415" s="21" t="s">
        <v>3425</v>
      </c>
      <c r="P415" s="161" t="s">
        <v>109</v>
      </c>
      <c r="Q415" s="21" t="s">
        <v>70</v>
      </c>
      <c r="R415" s="161">
        <v>80</v>
      </c>
      <c r="S415" s="161" t="s">
        <v>3377</v>
      </c>
      <c r="T415" s="161" t="s">
        <v>1585</v>
      </c>
      <c r="U415" s="161" t="s">
        <v>73</v>
      </c>
      <c r="V415" s="21" t="s">
        <v>74</v>
      </c>
      <c r="W415" s="21" t="s">
        <v>75</v>
      </c>
      <c r="X415" s="161" t="s">
        <v>3456</v>
      </c>
      <c r="Y415" s="161">
        <v>1.0800000000000001E-2</v>
      </c>
      <c r="Z415" s="161">
        <v>3.15</v>
      </c>
      <c r="AA415" s="161" t="s">
        <v>77</v>
      </c>
      <c r="AB415" s="161" t="s">
        <v>114</v>
      </c>
      <c r="AC415" s="266" t="str">
        <f>HYPERLINK("https://gcsvt.ru/svetodiodnyie-svetilniki/svt-p-direct-1500-128w/","Ссылка")</f>
        <v>Ссылка</v>
      </c>
      <c r="AD415" s="167">
        <v>12062</v>
      </c>
    </row>
    <row r="416" spans="1:30" s="161" customFormat="1" ht="39.950000000000003" customHeight="1" collapsed="1" x14ac:dyDescent="0.25">
      <c r="A416" s="101"/>
      <c r="B416" s="195" t="s">
        <v>4619</v>
      </c>
      <c r="C416" s="179"/>
      <c r="D416" s="163"/>
      <c r="E416" s="163"/>
      <c r="F416" s="163"/>
      <c r="G416" s="163"/>
      <c r="H416" s="163"/>
      <c r="I416" s="164"/>
      <c r="J416" s="163"/>
      <c r="K416" s="75"/>
      <c r="L416" s="163"/>
      <c r="M416" s="75"/>
      <c r="N416" s="163"/>
      <c r="O416" s="75"/>
      <c r="P416" s="163"/>
      <c r="Q416" s="75"/>
      <c r="R416" s="163"/>
      <c r="S416" s="163"/>
      <c r="T416" s="163"/>
      <c r="U416" s="163"/>
      <c r="V416" s="75"/>
      <c r="W416" s="75"/>
      <c r="X416" s="163"/>
      <c r="Y416" s="163"/>
      <c r="Z416" s="163"/>
      <c r="AA416" s="163"/>
      <c r="AB416" s="163"/>
      <c r="AC416" s="227"/>
      <c r="AD416" s="164"/>
    </row>
    <row r="417" spans="1:30" s="161" customFormat="1" ht="39.950000000000003" hidden="1" customHeight="1" outlineLevel="1" x14ac:dyDescent="0.25">
      <c r="A417" s="6"/>
      <c r="B417" s="21" t="s">
        <v>3822</v>
      </c>
      <c r="C417" s="160" t="s">
        <v>3835</v>
      </c>
      <c r="D417" s="161">
        <v>10400</v>
      </c>
      <c r="E417" s="161">
        <v>80</v>
      </c>
      <c r="F417" s="161">
        <v>130</v>
      </c>
      <c r="G417" s="161" t="s">
        <v>3839</v>
      </c>
      <c r="H417" s="161" t="s">
        <v>138</v>
      </c>
      <c r="I417" s="167">
        <v>65</v>
      </c>
      <c r="J417" s="161" t="s">
        <v>389</v>
      </c>
      <c r="K417" s="21" t="s">
        <v>65</v>
      </c>
      <c r="L417" s="161" t="s">
        <v>3380</v>
      </c>
      <c r="M417" s="21" t="s">
        <v>66</v>
      </c>
      <c r="N417" s="161" t="s">
        <v>67</v>
      </c>
      <c r="O417" s="21" t="s">
        <v>3823</v>
      </c>
      <c r="P417" s="161" t="s">
        <v>109</v>
      </c>
      <c r="Q417" s="21" t="s">
        <v>2288</v>
      </c>
      <c r="R417" s="161">
        <v>80</v>
      </c>
      <c r="S417" s="161" t="s">
        <v>3377</v>
      </c>
      <c r="U417" s="161" t="s">
        <v>73</v>
      </c>
      <c r="V417" s="21" t="s">
        <v>3824</v>
      </c>
      <c r="W417" s="21" t="s">
        <v>3825</v>
      </c>
      <c r="X417" s="161" t="s">
        <v>3826</v>
      </c>
      <c r="Z417" s="161">
        <v>1.65</v>
      </c>
      <c r="AA417" s="161" t="s">
        <v>77</v>
      </c>
      <c r="AB417" s="161" t="s">
        <v>114</v>
      </c>
      <c r="AC417" s="266" t="str">
        <f>HYPERLINK("https://gcsvt.ru/svetodiodnyie-svetilniki/svt-p-disk-80w-rb/","Ссылка")</f>
        <v>Ссылка</v>
      </c>
      <c r="AD417" s="170" t="s">
        <v>2859</v>
      </c>
    </row>
    <row r="418" spans="1:30" s="161" customFormat="1" ht="39.950000000000003" hidden="1" customHeight="1" outlineLevel="1" x14ac:dyDescent="0.25">
      <c r="A418" s="6"/>
      <c r="B418" s="21" t="s">
        <v>3822</v>
      </c>
      <c r="C418" s="160" t="s">
        <v>3836</v>
      </c>
      <c r="D418" s="161">
        <v>19500</v>
      </c>
      <c r="E418" s="161">
        <v>150</v>
      </c>
      <c r="F418" s="161">
        <v>130</v>
      </c>
      <c r="G418" s="161" t="s">
        <v>3840</v>
      </c>
      <c r="H418" s="161" t="s">
        <v>138</v>
      </c>
      <c r="I418" s="167">
        <v>65</v>
      </c>
      <c r="J418" s="161" t="s">
        <v>389</v>
      </c>
      <c r="K418" s="21" t="s">
        <v>65</v>
      </c>
      <c r="L418" s="161" t="s">
        <v>3380</v>
      </c>
      <c r="M418" s="21" t="s">
        <v>66</v>
      </c>
      <c r="N418" s="161" t="s">
        <v>67</v>
      </c>
      <c r="O418" s="21" t="s">
        <v>3823</v>
      </c>
      <c r="P418" s="161" t="s">
        <v>109</v>
      </c>
      <c r="Q418" s="21" t="s">
        <v>2288</v>
      </c>
      <c r="R418" s="161">
        <v>80</v>
      </c>
      <c r="S418" s="161" t="s">
        <v>3377</v>
      </c>
      <c r="U418" s="161" t="s">
        <v>73</v>
      </c>
      <c r="V418" s="21" t="s">
        <v>3824</v>
      </c>
      <c r="W418" s="21" t="s">
        <v>3825</v>
      </c>
      <c r="X418" s="161" t="s">
        <v>3827</v>
      </c>
      <c r="Z418" s="161">
        <v>2.95</v>
      </c>
      <c r="AA418" s="161" t="s">
        <v>77</v>
      </c>
      <c r="AB418" s="161" t="s">
        <v>114</v>
      </c>
      <c r="AC418" s="266" t="str">
        <f>HYPERLINK("https://gcsvt.ru/svetodiodnyie-svetilniki/svt-p-disk-150w-rb/","Ссылка")</f>
        <v>Ссылка</v>
      </c>
      <c r="AD418" s="170" t="s">
        <v>2859</v>
      </c>
    </row>
    <row r="419" spans="1:30" s="161" customFormat="1" ht="39.950000000000003" hidden="1" customHeight="1" outlineLevel="1" x14ac:dyDescent="0.25">
      <c r="A419" s="6"/>
      <c r="B419" s="21" t="s">
        <v>3822</v>
      </c>
      <c r="C419" s="160" t="s">
        <v>3837</v>
      </c>
      <c r="D419" s="161">
        <v>20800</v>
      </c>
      <c r="E419" s="161">
        <v>160</v>
      </c>
      <c r="F419" s="161">
        <v>130</v>
      </c>
      <c r="G419" s="161" t="s">
        <v>3841</v>
      </c>
      <c r="H419" s="161" t="s">
        <v>138</v>
      </c>
      <c r="I419" s="167">
        <v>65</v>
      </c>
      <c r="J419" s="161" t="s">
        <v>389</v>
      </c>
      <c r="K419" s="21" t="s">
        <v>65</v>
      </c>
      <c r="L419" s="161" t="s">
        <v>3380</v>
      </c>
      <c r="M419" s="21" t="s">
        <v>66</v>
      </c>
      <c r="N419" s="161" t="s">
        <v>67</v>
      </c>
      <c r="O419" s="21" t="s">
        <v>3823</v>
      </c>
      <c r="P419" s="161" t="s">
        <v>109</v>
      </c>
      <c r="Q419" s="21" t="s">
        <v>2288</v>
      </c>
      <c r="R419" s="161">
        <v>80</v>
      </c>
      <c r="S419" s="161" t="s">
        <v>3377</v>
      </c>
      <c r="U419" s="161" t="s">
        <v>73</v>
      </c>
      <c r="V419" s="21" t="s">
        <v>3824</v>
      </c>
      <c r="W419" s="21" t="s">
        <v>3825</v>
      </c>
      <c r="X419" s="161" t="s">
        <v>3827</v>
      </c>
      <c r="Z419" s="161">
        <v>2.95</v>
      </c>
      <c r="AA419" s="161" t="s">
        <v>77</v>
      </c>
      <c r="AB419" s="161" t="s">
        <v>114</v>
      </c>
      <c r="AC419" s="266" t="str">
        <f>HYPERLINK("https://gcsvt.ru/svetodiodnyie-svetilniki/svt-p-disk-160w-rb/","Ссылка")</f>
        <v>Ссылка</v>
      </c>
      <c r="AD419" s="170" t="s">
        <v>2859</v>
      </c>
    </row>
    <row r="420" spans="1:30" s="161" customFormat="1" ht="39.950000000000003" hidden="1" customHeight="1" outlineLevel="1" x14ac:dyDescent="0.25">
      <c r="A420" s="184"/>
      <c r="B420" s="195" t="s">
        <v>4008</v>
      </c>
      <c r="C420" s="202"/>
      <c r="D420" s="163"/>
      <c r="E420" s="163"/>
      <c r="F420" s="163"/>
      <c r="G420" s="163"/>
      <c r="H420" s="163"/>
      <c r="I420" s="163"/>
      <c r="J420" s="163"/>
      <c r="K420" s="75"/>
      <c r="L420" s="163"/>
      <c r="M420" s="75"/>
      <c r="N420" s="163"/>
      <c r="O420" s="75"/>
      <c r="P420" s="163"/>
      <c r="Q420" s="75"/>
      <c r="R420" s="163"/>
      <c r="S420" s="163"/>
      <c r="T420" s="163"/>
      <c r="U420" s="163"/>
      <c r="V420" s="75"/>
      <c r="W420" s="75"/>
      <c r="X420" s="163"/>
      <c r="Y420" s="163"/>
      <c r="Z420" s="163"/>
      <c r="AA420" s="163"/>
      <c r="AB420" s="163"/>
      <c r="AC420" s="227"/>
      <c r="AD420" s="164"/>
    </row>
    <row r="421" spans="1:30" s="161" customFormat="1" ht="39.950000000000003" hidden="1" customHeight="1" outlineLevel="1" x14ac:dyDescent="0.25">
      <c r="A421" s="171"/>
      <c r="B421" s="21" t="s">
        <v>3101</v>
      </c>
      <c r="C421" s="159" t="s">
        <v>3102</v>
      </c>
      <c r="D421" s="161">
        <v>1300</v>
      </c>
      <c r="E421" s="161">
        <v>10</v>
      </c>
      <c r="F421" s="167">
        <v>130</v>
      </c>
      <c r="G421" s="161" t="s">
        <v>3118</v>
      </c>
      <c r="H421" s="161" t="s">
        <v>1717</v>
      </c>
      <c r="I421" s="161">
        <v>54</v>
      </c>
      <c r="J421" s="161" t="s">
        <v>389</v>
      </c>
      <c r="K421" s="21" t="s">
        <v>106</v>
      </c>
      <c r="L421" s="161" t="s">
        <v>3380</v>
      </c>
      <c r="M421" s="21" t="s">
        <v>3111</v>
      </c>
      <c r="N421" s="161" t="s">
        <v>108</v>
      </c>
      <c r="O421" s="21" t="s">
        <v>3107</v>
      </c>
      <c r="P421" s="161" t="s">
        <v>109</v>
      </c>
      <c r="Q421" s="21" t="s">
        <v>2288</v>
      </c>
      <c r="R421" s="161">
        <v>80</v>
      </c>
      <c r="S421" s="161" t="s">
        <v>3106</v>
      </c>
      <c r="T421" s="161" t="s">
        <v>3112</v>
      </c>
      <c r="U421" s="161" t="s">
        <v>73</v>
      </c>
      <c r="V421" s="21" t="s">
        <v>3110</v>
      </c>
      <c r="W421" s="21" t="s">
        <v>3108</v>
      </c>
      <c r="X421" s="161" t="s">
        <v>3109</v>
      </c>
      <c r="Y421" s="161">
        <v>0.1</v>
      </c>
      <c r="Z421" s="161">
        <v>1.35</v>
      </c>
      <c r="AA421" s="161" t="s">
        <v>1933</v>
      </c>
      <c r="AB421" s="161" t="s">
        <v>114</v>
      </c>
      <c r="AC421" s="266" t="str">
        <f>HYPERLINK("https://gcsvt.ru/svetodiodnyie-svetilniki/svt-str-zl-10w-ip54/","Ссылка")</f>
        <v>Ссылка</v>
      </c>
      <c r="AD421" s="167">
        <v>5576</v>
      </c>
    </row>
    <row r="422" spans="1:30" s="161" customFormat="1" ht="39.950000000000003" hidden="1" customHeight="1" outlineLevel="1" x14ac:dyDescent="0.25">
      <c r="A422" s="171"/>
      <c r="B422" s="21" t="s">
        <v>3101</v>
      </c>
      <c r="C422" s="159" t="s">
        <v>3103</v>
      </c>
      <c r="D422" s="161">
        <v>1760</v>
      </c>
      <c r="E422" s="161">
        <v>14</v>
      </c>
      <c r="F422" s="167">
        <v>126</v>
      </c>
      <c r="G422" s="161" t="s">
        <v>3119</v>
      </c>
      <c r="H422" s="161" t="s">
        <v>1717</v>
      </c>
      <c r="I422" s="161">
        <v>54</v>
      </c>
      <c r="J422" s="161" t="s">
        <v>389</v>
      </c>
      <c r="K422" s="21" t="s">
        <v>106</v>
      </c>
      <c r="L422" s="161" t="s">
        <v>3380</v>
      </c>
      <c r="M422" s="21" t="s">
        <v>3111</v>
      </c>
      <c r="N422" s="161" t="s">
        <v>108</v>
      </c>
      <c r="O422" s="21" t="s">
        <v>3107</v>
      </c>
      <c r="P422" s="161" t="s">
        <v>109</v>
      </c>
      <c r="Q422" s="21" t="s">
        <v>2288</v>
      </c>
      <c r="R422" s="161">
        <v>80</v>
      </c>
      <c r="S422" s="161" t="s">
        <v>3106</v>
      </c>
      <c r="T422" s="161" t="s">
        <v>3113</v>
      </c>
      <c r="U422" s="161" t="s">
        <v>73</v>
      </c>
      <c r="V422" s="21" t="s">
        <v>3110</v>
      </c>
      <c r="W422" s="21" t="s">
        <v>3108</v>
      </c>
      <c r="X422" s="161" t="s">
        <v>3109</v>
      </c>
      <c r="Y422" s="161">
        <v>0.1</v>
      </c>
      <c r="Z422" s="161">
        <v>1.35</v>
      </c>
      <c r="AA422" s="161" t="s">
        <v>1933</v>
      </c>
      <c r="AB422" s="161" t="s">
        <v>114</v>
      </c>
      <c r="AC422" s="266" t="str">
        <f>HYPERLINK("https://gcsvt.ru/svetodiodnyie-svetilniki/svt-str-zl-14w-ip54/","Ссылка")</f>
        <v>Ссылка</v>
      </c>
      <c r="AD422" s="167">
        <v>5576</v>
      </c>
    </row>
    <row r="423" spans="1:30" s="161" customFormat="1" ht="39.950000000000003" hidden="1" customHeight="1" outlineLevel="1" x14ac:dyDescent="0.25">
      <c r="A423" s="171"/>
      <c r="B423" s="21" t="s">
        <v>3101</v>
      </c>
      <c r="C423" s="159" t="s">
        <v>3104</v>
      </c>
      <c r="D423" s="161">
        <v>2200</v>
      </c>
      <c r="E423" s="161">
        <v>18</v>
      </c>
      <c r="F423" s="167">
        <v>122</v>
      </c>
      <c r="G423" s="161" t="s">
        <v>3120</v>
      </c>
      <c r="H423" s="161" t="s">
        <v>1717</v>
      </c>
      <c r="I423" s="161">
        <v>54</v>
      </c>
      <c r="J423" s="161" t="s">
        <v>389</v>
      </c>
      <c r="K423" s="21" t="s">
        <v>106</v>
      </c>
      <c r="L423" s="161" t="s">
        <v>3380</v>
      </c>
      <c r="M423" s="21" t="s">
        <v>3111</v>
      </c>
      <c r="N423" s="161" t="s">
        <v>108</v>
      </c>
      <c r="O423" s="21" t="s">
        <v>3107</v>
      </c>
      <c r="P423" s="161" t="s">
        <v>109</v>
      </c>
      <c r="Q423" s="21" t="s">
        <v>2288</v>
      </c>
      <c r="R423" s="161">
        <v>80</v>
      </c>
      <c r="S423" s="161" t="s">
        <v>3106</v>
      </c>
      <c r="T423" s="161" t="s">
        <v>3114</v>
      </c>
      <c r="U423" s="161" t="s">
        <v>73</v>
      </c>
      <c r="V423" s="21" t="s">
        <v>3110</v>
      </c>
      <c r="W423" s="21" t="s">
        <v>3108</v>
      </c>
      <c r="X423" s="161" t="s">
        <v>3109</v>
      </c>
      <c r="Y423" s="161">
        <v>0.1</v>
      </c>
      <c r="Z423" s="161">
        <v>1.35</v>
      </c>
      <c r="AA423" s="161" t="s">
        <v>1933</v>
      </c>
      <c r="AB423" s="161" t="s">
        <v>114</v>
      </c>
      <c r="AC423" s="266" t="str">
        <f>HYPERLINK("https://gcsvt.ru/svetodiodnyie-svetilniki/svt-str-zl-18w-ip54/","Ссылка")</f>
        <v>Ссылка</v>
      </c>
      <c r="AD423" s="167">
        <v>5576</v>
      </c>
    </row>
    <row r="424" spans="1:30" s="161" customFormat="1" ht="39.950000000000003" hidden="1" customHeight="1" outlineLevel="1" x14ac:dyDescent="0.25">
      <c r="A424" s="171"/>
      <c r="B424" s="21" t="s">
        <v>3101</v>
      </c>
      <c r="C424" s="159" t="s">
        <v>3105</v>
      </c>
      <c r="D424" s="161">
        <v>2400</v>
      </c>
      <c r="E424" s="161">
        <v>20</v>
      </c>
      <c r="F424" s="167">
        <v>120</v>
      </c>
      <c r="G424" s="161" t="s">
        <v>3121</v>
      </c>
      <c r="H424" s="161" t="s">
        <v>1717</v>
      </c>
      <c r="I424" s="161">
        <v>54</v>
      </c>
      <c r="J424" s="161" t="s">
        <v>389</v>
      </c>
      <c r="K424" s="21" t="s">
        <v>106</v>
      </c>
      <c r="L424" s="161" t="s">
        <v>3380</v>
      </c>
      <c r="M424" s="21" t="s">
        <v>3111</v>
      </c>
      <c r="N424" s="161" t="s">
        <v>108</v>
      </c>
      <c r="O424" s="21" t="s">
        <v>3107</v>
      </c>
      <c r="P424" s="161" t="s">
        <v>109</v>
      </c>
      <c r="Q424" s="21" t="s">
        <v>2288</v>
      </c>
      <c r="R424" s="161">
        <v>80</v>
      </c>
      <c r="S424" s="161" t="s">
        <v>3106</v>
      </c>
      <c r="T424" s="161" t="s">
        <v>3115</v>
      </c>
      <c r="U424" s="161" t="s">
        <v>73</v>
      </c>
      <c r="V424" s="21" t="s">
        <v>3110</v>
      </c>
      <c r="W424" s="21" t="s">
        <v>3108</v>
      </c>
      <c r="X424" s="161" t="s">
        <v>3109</v>
      </c>
      <c r="Y424" s="161">
        <v>0.1</v>
      </c>
      <c r="Z424" s="161">
        <v>1.35</v>
      </c>
      <c r="AA424" s="161" t="s">
        <v>1933</v>
      </c>
      <c r="AB424" s="161" t="s">
        <v>114</v>
      </c>
      <c r="AC424" s="266" t="str">
        <f>HYPERLINK("https://gcsvt.ru/svetodiodnyie-svetilniki/svt-str-zl-20w-ip54/","Ссылка")</f>
        <v>Ссылка</v>
      </c>
      <c r="AD424" s="167">
        <v>5576</v>
      </c>
    </row>
    <row r="425" spans="1:30" s="161" customFormat="1" ht="39.950000000000003" customHeight="1" collapsed="1" x14ac:dyDescent="0.25">
      <c r="A425" s="171"/>
      <c r="B425" s="195" t="s">
        <v>4624</v>
      </c>
      <c r="C425" s="258"/>
      <c r="D425" s="163"/>
      <c r="E425" s="163"/>
      <c r="F425" s="164"/>
      <c r="G425" s="163"/>
      <c r="H425" s="163"/>
      <c r="I425" s="163"/>
      <c r="J425" s="163"/>
      <c r="K425" s="163"/>
      <c r="L425" s="163"/>
      <c r="M425" s="163"/>
      <c r="N425" s="163"/>
      <c r="O425" s="163"/>
      <c r="P425" s="163"/>
      <c r="Q425" s="163"/>
      <c r="R425" s="163"/>
      <c r="S425" s="163"/>
      <c r="T425" s="163"/>
      <c r="U425" s="163"/>
      <c r="V425" s="163"/>
      <c r="W425" s="163"/>
      <c r="X425" s="163"/>
      <c r="Y425" s="163"/>
      <c r="Z425" s="163"/>
      <c r="AA425" s="163"/>
      <c r="AB425" s="163"/>
      <c r="AC425" s="227"/>
      <c r="AD425" s="164"/>
    </row>
    <row r="426" spans="1:30" s="161" customFormat="1" ht="39.950000000000003" hidden="1" customHeight="1" outlineLevel="1" x14ac:dyDescent="0.25">
      <c r="A426"/>
      <c r="B426" s="21" t="s">
        <v>4627</v>
      </c>
      <c r="C426" s="80" t="s">
        <v>4614</v>
      </c>
      <c r="D426" s="12">
        <v>11340</v>
      </c>
      <c r="E426" s="12">
        <v>81</v>
      </c>
      <c r="F426" s="12">
        <v>140</v>
      </c>
      <c r="G426" s="12" t="s">
        <v>4642</v>
      </c>
      <c r="H426" s="12" t="s">
        <v>63</v>
      </c>
      <c r="I426" s="12">
        <v>67</v>
      </c>
      <c r="J426" s="12" t="s">
        <v>105</v>
      </c>
      <c r="K426" s="12" t="s">
        <v>106</v>
      </c>
      <c r="L426" s="12" t="s">
        <v>3380</v>
      </c>
      <c r="M426" s="12" t="s">
        <v>4599</v>
      </c>
      <c r="N426" s="12" t="s">
        <v>67</v>
      </c>
      <c r="O426" s="12" t="s">
        <v>4576</v>
      </c>
      <c r="P426" s="12" t="s">
        <v>4504</v>
      </c>
      <c r="Q426" s="12" t="s">
        <v>2288</v>
      </c>
      <c r="R426" s="12">
        <v>70</v>
      </c>
      <c r="S426" s="12" t="s">
        <v>4607</v>
      </c>
      <c r="T426" s="12" t="s">
        <v>4606</v>
      </c>
      <c r="U426" s="12" t="s">
        <v>142</v>
      </c>
      <c r="V426" s="12" t="s">
        <v>74</v>
      </c>
      <c r="W426" s="12" t="s">
        <v>4507</v>
      </c>
      <c r="X426" s="12" t="s">
        <v>4728</v>
      </c>
      <c r="Y426" s="12"/>
      <c r="Z426" s="12"/>
      <c r="AA426" s="257" t="s">
        <v>3856</v>
      </c>
      <c r="AB426" s="12" t="s">
        <v>114</v>
      </c>
      <c r="AC426" s="266" t="str">
        <f>HYPERLINK("https://gcsvt.ru/svetodiodnyie-svetilniki/svt-str-var-81w-45x140-gl-c/","Ссылка")</f>
        <v>Ссылка</v>
      </c>
      <c r="AD426" s="167">
        <v>14314</v>
      </c>
    </row>
    <row r="427" spans="1:30" s="161" customFormat="1" ht="39.950000000000003" hidden="1" customHeight="1" outlineLevel="1" x14ac:dyDescent="0.25">
      <c r="A427"/>
      <c r="B427" s="21" t="s">
        <v>4627</v>
      </c>
      <c r="C427" s="80" t="s">
        <v>4613</v>
      </c>
      <c r="D427" s="12">
        <v>11340</v>
      </c>
      <c r="E427" s="12">
        <v>81</v>
      </c>
      <c r="F427" s="12">
        <v>140</v>
      </c>
      <c r="G427" s="12" t="s">
        <v>4643</v>
      </c>
      <c r="H427" s="12" t="s">
        <v>177</v>
      </c>
      <c r="I427" s="12">
        <v>67</v>
      </c>
      <c r="J427" s="12" t="s">
        <v>105</v>
      </c>
      <c r="K427" s="12" t="s">
        <v>106</v>
      </c>
      <c r="L427" s="12" t="s">
        <v>3380</v>
      </c>
      <c r="M427" s="12" t="s">
        <v>4599</v>
      </c>
      <c r="N427" s="12" t="s">
        <v>67</v>
      </c>
      <c r="O427" s="12" t="s">
        <v>4576</v>
      </c>
      <c r="P427" s="12" t="s">
        <v>4504</v>
      </c>
      <c r="Q427" s="12" t="s">
        <v>2288</v>
      </c>
      <c r="R427" s="12">
        <v>70</v>
      </c>
      <c r="S427" s="12" t="s">
        <v>4607</v>
      </c>
      <c r="T427" s="12" t="s">
        <v>4606</v>
      </c>
      <c r="U427" s="12" t="s">
        <v>142</v>
      </c>
      <c r="V427" s="12" t="s">
        <v>74</v>
      </c>
      <c r="W427" s="12" t="s">
        <v>257</v>
      </c>
      <c r="X427" s="265" t="s">
        <v>4723</v>
      </c>
      <c r="Y427" s="12"/>
      <c r="Z427" s="12"/>
      <c r="AA427" s="257" t="s">
        <v>3856</v>
      </c>
      <c r="AB427" s="12" t="s">
        <v>114</v>
      </c>
      <c r="AC427" s="266" t="str">
        <f>HYPERLINK("https://gcsvt.ru/svetodiodnyie-svetilniki/svt-str-var-81w-20-gl/","Ссылка")</f>
        <v>Ссылка</v>
      </c>
      <c r="AD427" s="167">
        <v>14314</v>
      </c>
    </row>
    <row r="428" spans="1:30" s="161" customFormat="1" ht="39.950000000000003" hidden="1" customHeight="1" outlineLevel="1" x14ac:dyDescent="0.25">
      <c r="A428"/>
      <c r="B428" s="21" t="s">
        <v>4627</v>
      </c>
      <c r="C428" s="80" t="s">
        <v>4612</v>
      </c>
      <c r="D428" s="12">
        <v>11340</v>
      </c>
      <c r="E428" s="12">
        <v>81</v>
      </c>
      <c r="F428" s="12">
        <v>140</v>
      </c>
      <c r="G428" s="12" t="s">
        <v>4644</v>
      </c>
      <c r="H428" s="12" t="s">
        <v>180</v>
      </c>
      <c r="I428" s="12">
        <v>67</v>
      </c>
      <c r="J428" s="12" t="s">
        <v>105</v>
      </c>
      <c r="K428" s="12" t="s">
        <v>106</v>
      </c>
      <c r="L428" s="12" t="s">
        <v>3380</v>
      </c>
      <c r="M428" s="12" t="s">
        <v>4599</v>
      </c>
      <c r="N428" s="12" t="s">
        <v>67</v>
      </c>
      <c r="O428" s="12" t="s">
        <v>4576</v>
      </c>
      <c r="P428" s="12" t="s">
        <v>4504</v>
      </c>
      <c r="Q428" s="12" t="s">
        <v>2288</v>
      </c>
      <c r="R428" s="12">
        <v>70</v>
      </c>
      <c r="S428" s="12" t="s">
        <v>4607</v>
      </c>
      <c r="T428" s="12" t="s">
        <v>4606</v>
      </c>
      <c r="U428" s="12" t="s">
        <v>142</v>
      </c>
      <c r="V428" s="12" t="s">
        <v>74</v>
      </c>
      <c r="W428" s="12" t="s">
        <v>257</v>
      </c>
      <c r="X428" s="265" t="s">
        <v>4723</v>
      </c>
      <c r="Y428" s="12"/>
      <c r="Z428" s="12"/>
      <c r="AA428" s="257" t="s">
        <v>3856</v>
      </c>
      <c r="AB428" s="12" t="s">
        <v>114</v>
      </c>
      <c r="AC428" s="266" t="str">
        <f>HYPERLINK("https://gcsvt.ru/svetodiodnyie-svetilniki/svt-str-var-81w-35-gl/","Ссылка")</f>
        <v>Ссылка</v>
      </c>
      <c r="AD428" s="167">
        <v>14314</v>
      </c>
    </row>
    <row r="429" spans="1:30" s="161" customFormat="1" ht="39.950000000000003" hidden="1" customHeight="1" outlineLevel="1" x14ac:dyDescent="0.25">
      <c r="A429"/>
      <c r="B429" s="21" t="s">
        <v>4627</v>
      </c>
      <c r="C429" s="80" t="s">
        <v>4611</v>
      </c>
      <c r="D429" s="12">
        <v>11340</v>
      </c>
      <c r="E429" s="12">
        <v>81</v>
      </c>
      <c r="F429" s="12">
        <v>140</v>
      </c>
      <c r="G429" s="12" t="s">
        <v>4645</v>
      </c>
      <c r="H429" s="12" t="s">
        <v>183</v>
      </c>
      <c r="I429" s="12">
        <v>67</v>
      </c>
      <c r="J429" s="12" t="s">
        <v>105</v>
      </c>
      <c r="K429" s="12" t="s">
        <v>106</v>
      </c>
      <c r="L429" s="12" t="s">
        <v>3380</v>
      </c>
      <c r="M429" s="12" t="s">
        <v>4599</v>
      </c>
      <c r="N429" s="12" t="s">
        <v>67</v>
      </c>
      <c r="O429" s="12" t="s">
        <v>4576</v>
      </c>
      <c r="P429" s="12" t="s">
        <v>4504</v>
      </c>
      <c r="Q429" s="12" t="s">
        <v>2288</v>
      </c>
      <c r="R429" s="12">
        <v>70</v>
      </c>
      <c r="S429" s="12" t="s">
        <v>4607</v>
      </c>
      <c r="T429" s="12" t="s">
        <v>4606</v>
      </c>
      <c r="U429" s="12" t="s">
        <v>142</v>
      </c>
      <c r="V429" s="12" t="s">
        <v>74</v>
      </c>
      <c r="W429" s="12" t="s">
        <v>257</v>
      </c>
      <c r="X429" s="265" t="s">
        <v>4723</v>
      </c>
      <c r="Y429" s="12"/>
      <c r="Z429" s="12"/>
      <c r="AA429" s="257" t="s">
        <v>3856</v>
      </c>
      <c r="AB429" s="12" t="s">
        <v>114</v>
      </c>
      <c r="AC429" s="266" t="str">
        <f>HYPERLINK("https://gcsvt.ru/svetodiodnyie-svetilniki/svt-str-var-81w-65-gl/","Ссылка")</f>
        <v>Ссылка</v>
      </c>
      <c r="AD429" s="167">
        <v>14314</v>
      </c>
    </row>
    <row r="430" spans="1:30" s="161" customFormat="1" ht="39.950000000000003" hidden="1" customHeight="1" outlineLevel="1" x14ac:dyDescent="0.25">
      <c r="A430"/>
      <c r="B430" s="21" t="s">
        <v>4627</v>
      </c>
      <c r="C430" s="80" t="s">
        <v>4610</v>
      </c>
      <c r="D430" s="12">
        <v>11340</v>
      </c>
      <c r="E430" s="12">
        <v>81</v>
      </c>
      <c r="F430" s="12">
        <v>140</v>
      </c>
      <c r="G430" s="12" t="s">
        <v>4646</v>
      </c>
      <c r="H430" s="12" t="s">
        <v>186</v>
      </c>
      <c r="I430" s="12">
        <v>67</v>
      </c>
      <c r="J430" s="12" t="s">
        <v>105</v>
      </c>
      <c r="K430" s="12" t="s">
        <v>106</v>
      </c>
      <c r="L430" s="12" t="s">
        <v>3380</v>
      </c>
      <c r="M430" s="12" t="s">
        <v>4599</v>
      </c>
      <c r="N430" s="12" t="s">
        <v>67</v>
      </c>
      <c r="O430" s="12" t="s">
        <v>4576</v>
      </c>
      <c r="P430" s="12" t="s">
        <v>4504</v>
      </c>
      <c r="Q430" s="12" t="s">
        <v>2288</v>
      </c>
      <c r="R430" s="12">
        <v>70</v>
      </c>
      <c r="S430" s="12" t="s">
        <v>4607</v>
      </c>
      <c r="T430" s="12" t="s">
        <v>4606</v>
      </c>
      <c r="U430" s="12" t="s">
        <v>142</v>
      </c>
      <c r="V430" s="12" t="s">
        <v>74</v>
      </c>
      <c r="W430" s="12" t="s">
        <v>257</v>
      </c>
      <c r="X430" s="265" t="s">
        <v>4723</v>
      </c>
      <c r="Y430" s="12"/>
      <c r="Z430" s="12"/>
      <c r="AA430" s="257" t="s">
        <v>3856</v>
      </c>
      <c r="AB430" s="12" t="s">
        <v>114</v>
      </c>
      <c r="AC430" s="266" t="str">
        <f>HYPERLINK("https://gcsvt.ru/svetodiodnyie-svetilniki/svt-str-var-81w-100-gl/","Ссылка")</f>
        <v>Ссылка</v>
      </c>
      <c r="AD430" s="167">
        <v>14314</v>
      </c>
    </row>
    <row r="431" spans="1:30" s="161" customFormat="1" ht="39.950000000000003" hidden="1" customHeight="1" outlineLevel="1" x14ac:dyDescent="0.25">
      <c r="A431"/>
      <c r="B431" s="21" t="s">
        <v>4627</v>
      </c>
      <c r="C431" s="80" t="s">
        <v>4609</v>
      </c>
      <c r="D431" s="12">
        <v>11340</v>
      </c>
      <c r="E431" s="12">
        <v>81</v>
      </c>
      <c r="F431" s="12">
        <v>140</v>
      </c>
      <c r="G431" s="12" t="s">
        <v>4647</v>
      </c>
      <c r="H431" s="12" t="s">
        <v>189</v>
      </c>
      <c r="I431" s="12">
        <v>67</v>
      </c>
      <c r="J431" s="12" t="s">
        <v>105</v>
      </c>
      <c r="K431" s="12" t="s">
        <v>106</v>
      </c>
      <c r="L431" s="12" t="s">
        <v>3380</v>
      </c>
      <c r="M431" s="12" t="s">
        <v>4599</v>
      </c>
      <c r="N431" s="12" t="s">
        <v>67</v>
      </c>
      <c r="O431" s="12" t="s">
        <v>4576</v>
      </c>
      <c r="P431" s="12" t="s">
        <v>4504</v>
      </c>
      <c r="Q431" s="12" t="s">
        <v>2288</v>
      </c>
      <c r="R431" s="12">
        <v>70</v>
      </c>
      <c r="S431" s="12" t="s">
        <v>4607</v>
      </c>
      <c r="T431" s="12" t="s">
        <v>4606</v>
      </c>
      <c r="U431" s="12" t="s">
        <v>142</v>
      </c>
      <c r="V431" s="12" t="s">
        <v>74</v>
      </c>
      <c r="W431" s="12" t="s">
        <v>257</v>
      </c>
      <c r="X431" s="265" t="s">
        <v>4723</v>
      </c>
      <c r="Y431" s="12"/>
      <c r="Z431" s="12"/>
      <c r="AA431" s="257" t="s">
        <v>3856</v>
      </c>
      <c r="AB431" s="12" t="s">
        <v>114</v>
      </c>
      <c r="AC431" s="266" t="str">
        <f>HYPERLINK("https://gcsvt.ru/svetodiodnyie-svetilniki/svt-str-var-81w-30x120-gl/","Ссылка")</f>
        <v>Ссылка</v>
      </c>
      <c r="AD431" s="167">
        <v>14314</v>
      </c>
    </row>
    <row r="432" spans="1:30" s="161" customFormat="1" ht="39.950000000000003" hidden="1" customHeight="1" outlineLevel="1" x14ac:dyDescent="0.25">
      <c r="A432"/>
      <c r="B432" s="21" t="s">
        <v>4627</v>
      </c>
      <c r="C432" s="80" t="s">
        <v>4608</v>
      </c>
      <c r="D432" s="12">
        <v>11340</v>
      </c>
      <c r="E432" s="12">
        <v>81</v>
      </c>
      <c r="F432" s="12">
        <v>140</v>
      </c>
      <c r="G432" s="12" t="s">
        <v>4648</v>
      </c>
      <c r="H432" s="12" t="s">
        <v>192</v>
      </c>
      <c r="I432" s="12">
        <v>67</v>
      </c>
      <c r="J432" s="12" t="s">
        <v>105</v>
      </c>
      <c r="K432" s="12" t="s">
        <v>106</v>
      </c>
      <c r="L432" s="12" t="s">
        <v>3380</v>
      </c>
      <c r="M432" s="12" t="s">
        <v>4599</v>
      </c>
      <c r="N432" s="12" t="s">
        <v>67</v>
      </c>
      <c r="O432" s="12" t="s">
        <v>4576</v>
      </c>
      <c r="P432" s="12" t="s">
        <v>4504</v>
      </c>
      <c r="Q432" s="12" t="s">
        <v>2288</v>
      </c>
      <c r="R432" s="12">
        <v>70</v>
      </c>
      <c r="S432" s="12" t="s">
        <v>4607</v>
      </c>
      <c r="T432" s="12" t="s">
        <v>4606</v>
      </c>
      <c r="U432" s="12" t="s">
        <v>142</v>
      </c>
      <c r="V432" s="12" t="s">
        <v>74</v>
      </c>
      <c r="W432" s="12" t="s">
        <v>257</v>
      </c>
      <c r="X432" s="265" t="s">
        <v>4723</v>
      </c>
      <c r="Y432" s="12"/>
      <c r="Z432" s="12"/>
      <c r="AA432" s="257" t="s">
        <v>3856</v>
      </c>
      <c r="AB432" s="12" t="s">
        <v>114</v>
      </c>
      <c r="AC432" s="266" t="str">
        <f>HYPERLINK("https://gcsvt.ru/svetodiodnyie-svetilniki/svt-str-var-81w-150-gl/","Ссылка")</f>
        <v>Ссылка</v>
      </c>
      <c r="AD432" s="167">
        <v>14314</v>
      </c>
    </row>
    <row r="433" spans="1:30" s="161" customFormat="1" ht="39.950000000000003" hidden="1" customHeight="1" outlineLevel="1" x14ac:dyDescent="0.25">
      <c r="A433"/>
      <c r="B433" s="21" t="s">
        <v>4627</v>
      </c>
      <c r="C433" s="80" t="s">
        <v>4733</v>
      </c>
      <c r="D433" s="12">
        <v>16000</v>
      </c>
      <c r="E433" s="12">
        <v>102</v>
      </c>
      <c r="F433" s="12">
        <v>157</v>
      </c>
      <c r="G433" s="12" t="s">
        <v>4649</v>
      </c>
      <c r="H433" s="12" t="s">
        <v>63</v>
      </c>
      <c r="I433" s="12">
        <v>67</v>
      </c>
      <c r="J433" s="12" t="s">
        <v>105</v>
      </c>
      <c r="K433" s="12" t="s">
        <v>106</v>
      </c>
      <c r="L433" s="12" t="s">
        <v>3380</v>
      </c>
      <c r="M433" s="12" t="s">
        <v>4599</v>
      </c>
      <c r="N433" s="12" t="s">
        <v>67</v>
      </c>
      <c r="O433" s="12" t="s">
        <v>4576</v>
      </c>
      <c r="P433" s="12" t="s">
        <v>4504</v>
      </c>
      <c r="Q433" s="12" t="s">
        <v>2288</v>
      </c>
      <c r="R433" s="12">
        <v>70</v>
      </c>
      <c r="S433" s="12" t="s">
        <v>4592</v>
      </c>
      <c r="T433" s="12" t="s">
        <v>72</v>
      </c>
      <c r="U433" s="12" t="s">
        <v>142</v>
      </c>
      <c r="V433" s="12" t="s">
        <v>74</v>
      </c>
      <c r="W433" s="12" t="s">
        <v>4507</v>
      </c>
      <c r="X433" s="265" t="s">
        <v>4719</v>
      </c>
      <c r="Y433" s="12"/>
      <c r="Z433" s="12"/>
      <c r="AA433" s="257" t="s">
        <v>3856</v>
      </c>
      <c r="AB433" s="12" t="s">
        <v>114</v>
      </c>
      <c r="AC433" s="266" t="str">
        <f>HYPERLINK("https://gcsvt.ru/svetodiodnyie-svetilniki/svt-str-var-102w-45x140-gl-c/","Ссылка")</f>
        <v>Ссылка</v>
      </c>
      <c r="AD433" s="167">
        <v>18913</v>
      </c>
    </row>
    <row r="434" spans="1:30" s="161" customFormat="1" ht="39.950000000000003" hidden="1" customHeight="1" outlineLevel="1" x14ac:dyDescent="0.25">
      <c r="A434"/>
      <c r="B434" s="21" t="s">
        <v>4627</v>
      </c>
      <c r="C434" s="80" t="s">
        <v>4605</v>
      </c>
      <c r="D434" s="12">
        <v>16000</v>
      </c>
      <c r="E434" s="12">
        <v>102</v>
      </c>
      <c r="F434" s="12">
        <v>157</v>
      </c>
      <c r="G434" s="12" t="s">
        <v>4650</v>
      </c>
      <c r="H434" s="12" t="s">
        <v>177</v>
      </c>
      <c r="I434" s="12">
        <v>67</v>
      </c>
      <c r="J434" s="12" t="s">
        <v>105</v>
      </c>
      <c r="K434" s="12" t="s">
        <v>106</v>
      </c>
      <c r="L434" s="12" t="s">
        <v>3380</v>
      </c>
      <c r="M434" s="12" t="s">
        <v>4599</v>
      </c>
      <c r="N434" s="12" t="s">
        <v>67</v>
      </c>
      <c r="O434" s="12" t="s">
        <v>4576</v>
      </c>
      <c r="P434" s="12" t="s">
        <v>4504</v>
      </c>
      <c r="Q434" s="12" t="s">
        <v>2288</v>
      </c>
      <c r="R434" s="12">
        <v>70</v>
      </c>
      <c r="S434" s="12" t="s">
        <v>4592</v>
      </c>
      <c r="T434" s="12" t="s">
        <v>72</v>
      </c>
      <c r="U434" s="12" t="s">
        <v>142</v>
      </c>
      <c r="V434" s="12" t="s">
        <v>74</v>
      </c>
      <c r="W434" s="12" t="s">
        <v>257</v>
      </c>
      <c r="X434" s="265" t="s">
        <v>4724</v>
      </c>
      <c r="Y434" s="12"/>
      <c r="Z434" s="12"/>
      <c r="AA434" s="257" t="s">
        <v>3856</v>
      </c>
      <c r="AB434" s="12" t="s">
        <v>114</v>
      </c>
      <c r="AC434" s="266" t="str">
        <f>HYPERLINK("https://gcsvt.ru/svetodiodnyie-svetilniki/svt-str-var-102w-20-gl/","Ссылка")</f>
        <v>Ссылка</v>
      </c>
      <c r="AD434" s="167">
        <v>18913</v>
      </c>
    </row>
    <row r="435" spans="1:30" s="161" customFormat="1" ht="39.950000000000003" hidden="1" customHeight="1" outlineLevel="1" x14ac:dyDescent="0.25">
      <c r="A435"/>
      <c r="B435" s="21" t="s">
        <v>4627</v>
      </c>
      <c r="C435" s="80" t="s">
        <v>4604</v>
      </c>
      <c r="D435" s="12">
        <v>16000</v>
      </c>
      <c r="E435" s="12">
        <v>102</v>
      </c>
      <c r="F435" s="12">
        <v>157</v>
      </c>
      <c r="G435" s="12" t="s">
        <v>4651</v>
      </c>
      <c r="H435" s="12" t="s">
        <v>180</v>
      </c>
      <c r="I435" s="12">
        <v>67</v>
      </c>
      <c r="J435" s="12" t="s">
        <v>105</v>
      </c>
      <c r="K435" s="12" t="s">
        <v>106</v>
      </c>
      <c r="L435" s="12" t="s">
        <v>3380</v>
      </c>
      <c r="M435" s="12" t="s">
        <v>4599</v>
      </c>
      <c r="N435" s="12" t="s">
        <v>67</v>
      </c>
      <c r="O435" s="12" t="s">
        <v>4576</v>
      </c>
      <c r="P435" s="12" t="s">
        <v>4504</v>
      </c>
      <c r="Q435" s="12" t="s">
        <v>2288</v>
      </c>
      <c r="R435" s="12">
        <v>70</v>
      </c>
      <c r="S435" s="12" t="s">
        <v>4592</v>
      </c>
      <c r="T435" s="12" t="s">
        <v>72</v>
      </c>
      <c r="U435" s="12" t="s">
        <v>142</v>
      </c>
      <c r="V435" s="12" t="s">
        <v>74</v>
      </c>
      <c r="W435" s="12" t="s">
        <v>257</v>
      </c>
      <c r="X435" s="265" t="s">
        <v>4724</v>
      </c>
      <c r="Y435" s="12"/>
      <c r="Z435" s="12"/>
      <c r="AA435" s="257" t="s">
        <v>3856</v>
      </c>
      <c r="AB435" s="12" t="s">
        <v>114</v>
      </c>
      <c r="AC435" s="266" t="str">
        <f>HYPERLINK("https://gcsvt.ru/svetodiodnyie-svetilniki/svt-str-var-102w-35-gl/","Ссылка")</f>
        <v>Ссылка</v>
      </c>
      <c r="AD435" s="167">
        <v>18913</v>
      </c>
    </row>
    <row r="436" spans="1:30" s="161" customFormat="1" ht="39.950000000000003" hidden="1" customHeight="1" outlineLevel="1" x14ac:dyDescent="0.25">
      <c r="A436"/>
      <c r="B436" s="21" t="s">
        <v>4627</v>
      </c>
      <c r="C436" s="80" t="s">
        <v>4603</v>
      </c>
      <c r="D436" s="12">
        <v>16000</v>
      </c>
      <c r="E436" s="12">
        <v>102</v>
      </c>
      <c r="F436" s="12">
        <v>157</v>
      </c>
      <c r="G436" s="12" t="s">
        <v>4652</v>
      </c>
      <c r="H436" s="12" t="s">
        <v>183</v>
      </c>
      <c r="I436" s="12">
        <v>67</v>
      </c>
      <c r="J436" s="12" t="s">
        <v>105</v>
      </c>
      <c r="K436" s="12" t="s">
        <v>106</v>
      </c>
      <c r="L436" s="12" t="s">
        <v>3380</v>
      </c>
      <c r="M436" s="12" t="s">
        <v>4599</v>
      </c>
      <c r="N436" s="12" t="s">
        <v>67</v>
      </c>
      <c r="O436" s="12" t="s">
        <v>4576</v>
      </c>
      <c r="P436" s="12" t="s">
        <v>4504</v>
      </c>
      <c r="Q436" s="12" t="s">
        <v>2288</v>
      </c>
      <c r="R436" s="12">
        <v>70</v>
      </c>
      <c r="S436" s="12" t="s">
        <v>4592</v>
      </c>
      <c r="T436" s="12" t="s">
        <v>72</v>
      </c>
      <c r="U436" s="12" t="s">
        <v>142</v>
      </c>
      <c r="V436" s="12" t="s">
        <v>74</v>
      </c>
      <c r="W436" s="12" t="s">
        <v>257</v>
      </c>
      <c r="X436" s="265" t="s">
        <v>4724</v>
      </c>
      <c r="Y436" s="12"/>
      <c r="Z436" s="12"/>
      <c r="AA436" s="257" t="s">
        <v>3856</v>
      </c>
      <c r="AB436" s="12" t="s">
        <v>114</v>
      </c>
      <c r="AC436" s="266" t="str">
        <f>HYPERLINK("https://gcsvt.ru/svetodiodnyie-svetilniki/svt-str-var-102w-65-gl/","Ссылка")</f>
        <v>Ссылка</v>
      </c>
      <c r="AD436" s="167">
        <v>18913</v>
      </c>
    </row>
    <row r="437" spans="1:30" s="161" customFormat="1" ht="39.950000000000003" hidden="1" customHeight="1" outlineLevel="1" x14ac:dyDescent="0.25">
      <c r="A437"/>
      <c r="B437" s="21" t="s">
        <v>4627</v>
      </c>
      <c r="C437" s="80" t="s">
        <v>4602</v>
      </c>
      <c r="D437" s="12">
        <v>16000</v>
      </c>
      <c r="E437" s="12">
        <v>102</v>
      </c>
      <c r="F437" s="12">
        <v>157</v>
      </c>
      <c r="G437" s="12" t="s">
        <v>4653</v>
      </c>
      <c r="H437" s="12" t="s">
        <v>186</v>
      </c>
      <c r="I437" s="12">
        <v>67</v>
      </c>
      <c r="J437" s="12" t="s">
        <v>105</v>
      </c>
      <c r="K437" s="12" t="s">
        <v>106</v>
      </c>
      <c r="L437" s="12" t="s">
        <v>3380</v>
      </c>
      <c r="M437" s="12" t="s">
        <v>4599</v>
      </c>
      <c r="N437" s="12" t="s">
        <v>67</v>
      </c>
      <c r="O437" s="12" t="s">
        <v>4576</v>
      </c>
      <c r="P437" s="12" t="s">
        <v>4504</v>
      </c>
      <c r="Q437" s="12" t="s">
        <v>2288</v>
      </c>
      <c r="R437" s="12">
        <v>70</v>
      </c>
      <c r="S437" s="12" t="s">
        <v>4592</v>
      </c>
      <c r="T437" s="12" t="s">
        <v>72</v>
      </c>
      <c r="U437" s="12" t="s">
        <v>142</v>
      </c>
      <c r="V437" s="12" t="s">
        <v>74</v>
      </c>
      <c r="W437" s="12" t="s">
        <v>257</v>
      </c>
      <c r="X437" s="265" t="s">
        <v>4724</v>
      </c>
      <c r="Y437" s="12"/>
      <c r="Z437" s="12"/>
      <c r="AA437" s="257" t="s">
        <v>3856</v>
      </c>
      <c r="AB437" s="12" t="s">
        <v>114</v>
      </c>
      <c r="AC437" s="266" t="str">
        <f>HYPERLINK("https://gcsvt.ru/svetodiodnyie-svetilniki/svt-str-var-102w-100-gl/","Ссылка")</f>
        <v>Ссылка</v>
      </c>
      <c r="AD437" s="167">
        <v>18913</v>
      </c>
    </row>
    <row r="438" spans="1:30" s="161" customFormat="1" ht="39.950000000000003" hidden="1" customHeight="1" outlineLevel="1" x14ac:dyDescent="0.25">
      <c r="A438"/>
      <c r="B438" s="21" t="s">
        <v>4627</v>
      </c>
      <c r="C438" s="80" t="s">
        <v>4601</v>
      </c>
      <c r="D438" s="12">
        <v>16000</v>
      </c>
      <c r="E438" s="12">
        <v>102</v>
      </c>
      <c r="F438" s="12">
        <v>157</v>
      </c>
      <c r="G438" s="12" t="s">
        <v>4654</v>
      </c>
      <c r="H438" s="12" t="s">
        <v>189</v>
      </c>
      <c r="I438" s="12">
        <v>67</v>
      </c>
      <c r="J438" s="12" t="s">
        <v>105</v>
      </c>
      <c r="K438" s="12" t="s">
        <v>106</v>
      </c>
      <c r="L438" s="12" t="s">
        <v>3380</v>
      </c>
      <c r="M438" s="12" t="s">
        <v>4599</v>
      </c>
      <c r="N438" s="12" t="s">
        <v>67</v>
      </c>
      <c r="O438" s="12" t="s">
        <v>4576</v>
      </c>
      <c r="P438" s="12" t="s">
        <v>4504</v>
      </c>
      <c r="Q438" s="12" t="s">
        <v>2288</v>
      </c>
      <c r="R438" s="12">
        <v>70</v>
      </c>
      <c r="S438" s="12" t="s">
        <v>4592</v>
      </c>
      <c r="T438" s="12" t="s">
        <v>72</v>
      </c>
      <c r="U438" s="12" t="s">
        <v>142</v>
      </c>
      <c r="V438" s="12" t="s">
        <v>74</v>
      </c>
      <c r="W438" s="12" t="s">
        <v>257</v>
      </c>
      <c r="X438" s="265" t="s">
        <v>4724</v>
      </c>
      <c r="Y438" s="12"/>
      <c r="Z438" s="12"/>
      <c r="AA438" s="257" t="s">
        <v>3856</v>
      </c>
      <c r="AB438" s="12" t="s">
        <v>114</v>
      </c>
      <c r="AC438" s="266" t="str">
        <f>HYPERLINK("https://gcsvt.ru/svetodiodnyie-svetilniki/svt-str-var-102w-30x120-gl/","Ссылка")</f>
        <v>Ссылка</v>
      </c>
      <c r="AD438" s="167">
        <v>18913</v>
      </c>
    </row>
    <row r="439" spans="1:30" s="161" customFormat="1" ht="39.950000000000003" hidden="1" customHeight="1" outlineLevel="1" x14ac:dyDescent="0.25">
      <c r="A439"/>
      <c r="B439" s="21" t="s">
        <v>4627</v>
      </c>
      <c r="C439" s="80" t="s">
        <v>4600</v>
      </c>
      <c r="D439" s="12">
        <v>16000</v>
      </c>
      <c r="E439" s="12">
        <v>102</v>
      </c>
      <c r="F439" s="12">
        <v>157</v>
      </c>
      <c r="G439" s="12" t="s">
        <v>4655</v>
      </c>
      <c r="H439" s="12" t="s">
        <v>192</v>
      </c>
      <c r="I439" s="12">
        <v>67</v>
      </c>
      <c r="J439" s="12" t="s">
        <v>105</v>
      </c>
      <c r="K439" s="12" t="s">
        <v>106</v>
      </c>
      <c r="L439" s="12" t="s">
        <v>3380</v>
      </c>
      <c r="M439" s="12" t="s">
        <v>4599</v>
      </c>
      <c r="N439" s="12" t="s">
        <v>67</v>
      </c>
      <c r="O439" s="12" t="s">
        <v>4576</v>
      </c>
      <c r="P439" s="12" t="s">
        <v>4504</v>
      </c>
      <c r="Q439" s="12" t="s">
        <v>2288</v>
      </c>
      <c r="R439" s="12">
        <v>70</v>
      </c>
      <c r="S439" s="12" t="s">
        <v>4592</v>
      </c>
      <c r="T439" s="12" t="s">
        <v>72</v>
      </c>
      <c r="U439" s="12" t="s">
        <v>142</v>
      </c>
      <c r="V439" s="12" t="s">
        <v>74</v>
      </c>
      <c r="W439" s="12" t="s">
        <v>257</v>
      </c>
      <c r="X439" s="265" t="s">
        <v>4724</v>
      </c>
      <c r="Y439" s="12"/>
      <c r="Z439" s="12"/>
      <c r="AA439" s="257" t="s">
        <v>3856</v>
      </c>
      <c r="AB439" s="12" t="s">
        <v>114</v>
      </c>
      <c r="AC439" s="266" t="str">
        <f>HYPERLINK("https://gcsvt.ru/svetodiodnyie-svetilniki/svt-str-var-102w-150-gl/","Ссылка")</f>
        <v>Ссылка</v>
      </c>
      <c r="AD439" s="167">
        <v>18913</v>
      </c>
    </row>
    <row r="440" spans="1:30" s="161" customFormat="1" ht="39.950000000000003" hidden="1" customHeight="1" outlineLevel="1" x14ac:dyDescent="0.25">
      <c r="A440"/>
      <c r="B440" s="21" t="s">
        <v>4627</v>
      </c>
      <c r="C440" s="80" t="s">
        <v>4734</v>
      </c>
      <c r="D440" s="12">
        <v>20250</v>
      </c>
      <c r="E440" s="12">
        <v>135</v>
      </c>
      <c r="F440" s="12">
        <v>150</v>
      </c>
      <c r="G440" s="12" t="s">
        <v>4656</v>
      </c>
      <c r="H440" s="12" t="s">
        <v>63</v>
      </c>
      <c r="I440" s="12">
        <v>67</v>
      </c>
      <c r="J440" s="12" t="s">
        <v>105</v>
      </c>
      <c r="K440" s="12" t="s">
        <v>106</v>
      </c>
      <c r="L440" s="12" t="s">
        <v>3380</v>
      </c>
      <c r="M440" s="12" t="s">
        <v>4577</v>
      </c>
      <c r="N440" s="12" t="s">
        <v>67</v>
      </c>
      <c r="O440" s="12" t="s">
        <v>4576</v>
      </c>
      <c r="P440" s="12" t="s">
        <v>4504</v>
      </c>
      <c r="Q440" s="12" t="s">
        <v>2288</v>
      </c>
      <c r="R440" s="12">
        <v>70</v>
      </c>
      <c r="S440" s="12" t="s">
        <v>4592</v>
      </c>
      <c r="T440" s="12" t="s">
        <v>4591</v>
      </c>
      <c r="U440" s="12" t="s">
        <v>142</v>
      </c>
      <c r="V440" s="12" t="s">
        <v>74</v>
      </c>
      <c r="W440" s="12" t="s">
        <v>4507</v>
      </c>
      <c r="X440" s="265" t="s">
        <v>4720</v>
      </c>
      <c r="Y440" s="12"/>
      <c r="Z440" s="12"/>
      <c r="AA440" s="257" t="s">
        <v>3856</v>
      </c>
      <c r="AB440" s="12" t="s">
        <v>114</v>
      </c>
      <c r="AC440" s="266" t="str">
        <f>HYPERLINK("https://gcsvt.ru/svetodiodnyie-svetilniki/svt-str-var-135w-45x140-gl-c/","Ссылка")</f>
        <v>Ссылка</v>
      </c>
      <c r="AD440" s="167">
        <v>19508</v>
      </c>
    </row>
    <row r="441" spans="1:30" s="161" customFormat="1" ht="39.950000000000003" hidden="1" customHeight="1" outlineLevel="1" x14ac:dyDescent="0.25">
      <c r="A441"/>
      <c r="B441" s="21" t="s">
        <v>4627</v>
      </c>
      <c r="C441" s="80" t="s">
        <v>4598</v>
      </c>
      <c r="D441" s="12">
        <v>20250</v>
      </c>
      <c r="E441" s="12">
        <v>135</v>
      </c>
      <c r="F441" s="12">
        <v>150</v>
      </c>
      <c r="G441" s="12" t="s">
        <v>4657</v>
      </c>
      <c r="H441" s="12" t="s">
        <v>177</v>
      </c>
      <c r="I441" s="12">
        <v>67</v>
      </c>
      <c r="J441" s="12" t="s">
        <v>105</v>
      </c>
      <c r="K441" s="12" t="s">
        <v>106</v>
      </c>
      <c r="L441" s="12" t="s">
        <v>3380</v>
      </c>
      <c r="M441" s="12" t="s">
        <v>4577</v>
      </c>
      <c r="N441" s="12" t="s">
        <v>67</v>
      </c>
      <c r="O441" s="12" t="s">
        <v>4576</v>
      </c>
      <c r="P441" s="12" t="s">
        <v>4504</v>
      </c>
      <c r="Q441" s="12" t="s">
        <v>2288</v>
      </c>
      <c r="R441" s="12">
        <v>70</v>
      </c>
      <c r="S441" s="12" t="s">
        <v>4592</v>
      </c>
      <c r="T441" s="12" t="s">
        <v>4591</v>
      </c>
      <c r="U441" s="12" t="s">
        <v>142</v>
      </c>
      <c r="V441" s="12" t="s">
        <v>74</v>
      </c>
      <c r="W441" s="12" t="s">
        <v>257</v>
      </c>
      <c r="X441" s="265" t="s">
        <v>4725</v>
      </c>
      <c r="Y441" s="12"/>
      <c r="Z441" s="12"/>
      <c r="AA441" s="257" t="s">
        <v>3856</v>
      </c>
      <c r="AB441" s="12" t="s">
        <v>114</v>
      </c>
      <c r="AC441" s="266" t="str">
        <f>HYPERLINK("https://gcsvt.ru/svetodiodnyie-svetilniki/svt-str-var-135w-20-gl/","Ссылка")</f>
        <v>Ссылка</v>
      </c>
      <c r="AD441" s="167">
        <v>19508</v>
      </c>
    </row>
    <row r="442" spans="1:30" s="161" customFormat="1" ht="39.950000000000003" hidden="1" customHeight="1" outlineLevel="1" x14ac:dyDescent="0.25">
      <c r="A442"/>
      <c r="B442" s="21" t="s">
        <v>4627</v>
      </c>
      <c r="C442" s="80" t="s">
        <v>4597</v>
      </c>
      <c r="D442" s="12">
        <v>20250</v>
      </c>
      <c r="E442" s="12">
        <v>135</v>
      </c>
      <c r="F442" s="12">
        <v>150</v>
      </c>
      <c r="G442" s="12" t="s">
        <v>4658</v>
      </c>
      <c r="H442" s="12" t="s">
        <v>180</v>
      </c>
      <c r="I442" s="12">
        <v>67</v>
      </c>
      <c r="J442" s="12" t="s">
        <v>105</v>
      </c>
      <c r="K442" s="12" t="s">
        <v>106</v>
      </c>
      <c r="L442" s="12" t="s">
        <v>3380</v>
      </c>
      <c r="M442" s="12" t="s">
        <v>4577</v>
      </c>
      <c r="N442" s="12" t="s">
        <v>67</v>
      </c>
      <c r="O442" s="12" t="s">
        <v>4576</v>
      </c>
      <c r="P442" s="12" t="s">
        <v>4504</v>
      </c>
      <c r="Q442" s="12" t="s">
        <v>2288</v>
      </c>
      <c r="R442" s="12">
        <v>70</v>
      </c>
      <c r="S442" s="12" t="s">
        <v>4592</v>
      </c>
      <c r="T442" s="12" t="s">
        <v>4591</v>
      </c>
      <c r="U442" s="12" t="s">
        <v>142</v>
      </c>
      <c r="V442" s="12" t="s">
        <v>74</v>
      </c>
      <c r="W442" s="12" t="s">
        <v>257</v>
      </c>
      <c r="X442" s="265" t="s">
        <v>4725</v>
      </c>
      <c r="Y442" s="12"/>
      <c r="Z442" s="12"/>
      <c r="AA442" s="257" t="s">
        <v>3856</v>
      </c>
      <c r="AB442" s="12" t="s">
        <v>114</v>
      </c>
      <c r="AC442" s="266" t="str">
        <f>HYPERLINK("https://gcsvt.ru/svetodiodnyie-svetilniki/svt-str-var-135w-35-gl/","Ссылка")</f>
        <v>Ссылка</v>
      </c>
      <c r="AD442" s="167">
        <v>19508</v>
      </c>
    </row>
    <row r="443" spans="1:30" s="161" customFormat="1" ht="39.950000000000003" hidden="1" customHeight="1" outlineLevel="1" x14ac:dyDescent="0.25">
      <c r="A443"/>
      <c r="B443" s="21" t="s">
        <v>4627</v>
      </c>
      <c r="C443" s="80" t="s">
        <v>4596</v>
      </c>
      <c r="D443" s="12">
        <v>20250</v>
      </c>
      <c r="E443" s="12">
        <v>135</v>
      </c>
      <c r="F443" s="12">
        <v>150</v>
      </c>
      <c r="G443" s="12" t="s">
        <v>4659</v>
      </c>
      <c r="H443" s="12" t="s">
        <v>183</v>
      </c>
      <c r="I443" s="12">
        <v>67</v>
      </c>
      <c r="J443" s="12" t="s">
        <v>105</v>
      </c>
      <c r="K443" s="12" t="s">
        <v>106</v>
      </c>
      <c r="L443" s="12" t="s">
        <v>3380</v>
      </c>
      <c r="M443" s="12" t="s">
        <v>4577</v>
      </c>
      <c r="N443" s="12" t="s">
        <v>67</v>
      </c>
      <c r="O443" s="12" t="s">
        <v>4576</v>
      </c>
      <c r="P443" s="12" t="s">
        <v>4504</v>
      </c>
      <c r="Q443" s="12" t="s">
        <v>2288</v>
      </c>
      <c r="R443" s="12">
        <v>70</v>
      </c>
      <c r="S443" s="12" t="s">
        <v>4592</v>
      </c>
      <c r="T443" s="12" t="s">
        <v>4591</v>
      </c>
      <c r="U443" s="12" t="s">
        <v>142</v>
      </c>
      <c r="V443" s="12" t="s">
        <v>74</v>
      </c>
      <c r="W443" s="12" t="s">
        <v>257</v>
      </c>
      <c r="X443" s="265" t="s">
        <v>4725</v>
      </c>
      <c r="Y443" s="12"/>
      <c r="Z443" s="12"/>
      <c r="AA443" s="257" t="s">
        <v>3856</v>
      </c>
      <c r="AB443" s="12" t="s">
        <v>114</v>
      </c>
      <c r="AC443" s="266" t="str">
        <f>HYPERLINK("https://gcsvt.ru/svetodiodnyie-svetilniki/svt-str-var-135w-65-gl/","Ссылка")</f>
        <v>Ссылка</v>
      </c>
      <c r="AD443" s="167">
        <v>19508</v>
      </c>
    </row>
    <row r="444" spans="1:30" s="161" customFormat="1" ht="39.950000000000003" hidden="1" customHeight="1" outlineLevel="1" x14ac:dyDescent="0.25">
      <c r="A444"/>
      <c r="B444" s="21" t="s">
        <v>4627</v>
      </c>
      <c r="C444" s="80" t="s">
        <v>4595</v>
      </c>
      <c r="D444" s="12">
        <v>20250</v>
      </c>
      <c r="E444" s="12">
        <v>135</v>
      </c>
      <c r="F444" s="12">
        <v>150</v>
      </c>
      <c r="G444" s="12" t="s">
        <v>4660</v>
      </c>
      <c r="H444" s="12" t="s">
        <v>186</v>
      </c>
      <c r="I444" s="12">
        <v>67</v>
      </c>
      <c r="J444" s="12" t="s">
        <v>105</v>
      </c>
      <c r="K444" s="12" t="s">
        <v>106</v>
      </c>
      <c r="L444" s="12" t="s">
        <v>3380</v>
      </c>
      <c r="M444" s="12" t="s">
        <v>4577</v>
      </c>
      <c r="N444" s="12" t="s">
        <v>67</v>
      </c>
      <c r="O444" s="12" t="s">
        <v>4576</v>
      </c>
      <c r="P444" s="12" t="s">
        <v>4504</v>
      </c>
      <c r="Q444" s="12" t="s">
        <v>2288</v>
      </c>
      <c r="R444" s="12">
        <v>70</v>
      </c>
      <c r="S444" s="12" t="s">
        <v>4592</v>
      </c>
      <c r="T444" s="12" t="s">
        <v>4591</v>
      </c>
      <c r="U444" s="12" t="s">
        <v>142</v>
      </c>
      <c r="V444" s="12" t="s">
        <v>74</v>
      </c>
      <c r="W444" s="12" t="s">
        <v>257</v>
      </c>
      <c r="X444" s="265" t="s">
        <v>4725</v>
      </c>
      <c r="Y444" s="12"/>
      <c r="Z444" s="12"/>
      <c r="AA444" s="257" t="s">
        <v>3856</v>
      </c>
      <c r="AB444" s="12" t="s">
        <v>114</v>
      </c>
      <c r="AC444" s="266" t="str">
        <f>HYPERLINK("https://gcsvt.ru/svetodiodnyie-svetilniki/svt-str-var-135w-100-gl/","Ссылка")</f>
        <v>Ссылка</v>
      </c>
      <c r="AD444" s="167">
        <v>19508</v>
      </c>
    </row>
    <row r="445" spans="1:30" s="161" customFormat="1" ht="39.950000000000003" hidden="1" customHeight="1" outlineLevel="1" x14ac:dyDescent="0.25">
      <c r="A445"/>
      <c r="B445" s="21" t="s">
        <v>4627</v>
      </c>
      <c r="C445" s="80" t="s">
        <v>4594</v>
      </c>
      <c r="D445" s="12">
        <v>20250</v>
      </c>
      <c r="E445" s="12">
        <v>135</v>
      </c>
      <c r="F445" s="12">
        <v>150</v>
      </c>
      <c r="G445" s="12" t="s">
        <v>4661</v>
      </c>
      <c r="H445" s="12" t="s">
        <v>189</v>
      </c>
      <c r="I445" s="12">
        <v>67</v>
      </c>
      <c r="J445" s="12" t="s">
        <v>105</v>
      </c>
      <c r="K445" s="12" t="s">
        <v>106</v>
      </c>
      <c r="L445" s="12" t="s">
        <v>3380</v>
      </c>
      <c r="M445" s="12" t="s">
        <v>4577</v>
      </c>
      <c r="N445" s="12" t="s">
        <v>67</v>
      </c>
      <c r="O445" s="12" t="s">
        <v>4576</v>
      </c>
      <c r="P445" s="12" t="s">
        <v>4504</v>
      </c>
      <c r="Q445" s="12" t="s">
        <v>2288</v>
      </c>
      <c r="R445" s="12">
        <v>70</v>
      </c>
      <c r="S445" s="12" t="s">
        <v>4592</v>
      </c>
      <c r="T445" s="12" t="s">
        <v>4591</v>
      </c>
      <c r="U445" s="12" t="s">
        <v>142</v>
      </c>
      <c r="V445" s="12" t="s">
        <v>74</v>
      </c>
      <c r="W445" s="12" t="s">
        <v>257</v>
      </c>
      <c r="X445" s="265" t="s">
        <v>4725</v>
      </c>
      <c r="Y445" s="12"/>
      <c r="Z445" s="12"/>
      <c r="AA445" s="257" t="s">
        <v>3856</v>
      </c>
      <c r="AB445" s="12" t="s">
        <v>114</v>
      </c>
      <c r="AC445" s="266" t="str">
        <f>HYPERLINK("https://gcsvt.ru/svetodiodnyie-svetilniki/svt-str-var-135w-30x120-gl/","Ссылка")</f>
        <v>Ссылка</v>
      </c>
      <c r="AD445" s="167">
        <v>19508</v>
      </c>
    </row>
    <row r="446" spans="1:30" s="161" customFormat="1" ht="39.950000000000003" hidden="1" customHeight="1" outlineLevel="1" x14ac:dyDescent="0.25">
      <c r="A446"/>
      <c r="B446" s="21" t="s">
        <v>4627</v>
      </c>
      <c r="C446" s="80" t="s">
        <v>4593</v>
      </c>
      <c r="D446" s="12">
        <v>20250</v>
      </c>
      <c r="E446" s="12">
        <v>135</v>
      </c>
      <c r="F446" s="12">
        <v>150</v>
      </c>
      <c r="G446" s="12" t="s">
        <v>4662</v>
      </c>
      <c r="H446" s="12" t="s">
        <v>192</v>
      </c>
      <c r="I446" s="12">
        <v>67</v>
      </c>
      <c r="J446" s="12" t="s">
        <v>105</v>
      </c>
      <c r="K446" s="12" t="s">
        <v>106</v>
      </c>
      <c r="L446" s="12" t="s">
        <v>3380</v>
      </c>
      <c r="M446" s="12" t="s">
        <v>4577</v>
      </c>
      <c r="N446" s="12" t="s">
        <v>67</v>
      </c>
      <c r="O446" s="12" t="s">
        <v>4576</v>
      </c>
      <c r="P446" s="12" t="s">
        <v>4504</v>
      </c>
      <c r="Q446" s="12" t="s">
        <v>2288</v>
      </c>
      <c r="R446" s="12">
        <v>70</v>
      </c>
      <c r="S446" s="12" t="s">
        <v>4592</v>
      </c>
      <c r="T446" s="12" t="s">
        <v>4591</v>
      </c>
      <c r="U446" s="12" t="s">
        <v>142</v>
      </c>
      <c r="V446" s="12" t="s">
        <v>74</v>
      </c>
      <c r="W446" s="12" t="s">
        <v>257</v>
      </c>
      <c r="X446" s="265" t="s">
        <v>4725</v>
      </c>
      <c r="Y446" s="12"/>
      <c r="Z446" s="12"/>
      <c r="AA446" s="257" t="s">
        <v>3856</v>
      </c>
      <c r="AB446" s="12" t="s">
        <v>114</v>
      </c>
      <c r="AC446" s="266" t="str">
        <f>HYPERLINK("https://gcsvt.ru/svetodiodnyie-svetilniki/svt-str-var-135w-150-gl/","Ссылка")</f>
        <v>Ссылка</v>
      </c>
      <c r="AD446" s="167">
        <v>19508</v>
      </c>
    </row>
    <row r="447" spans="1:30" s="161" customFormat="1" ht="39.950000000000003" hidden="1" customHeight="1" outlineLevel="1" x14ac:dyDescent="0.25">
      <c r="A447"/>
      <c r="B447" s="21" t="s">
        <v>4627</v>
      </c>
      <c r="C447" s="80" t="s">
        <v>4735</v>
      </c>
      <c r="D447" s="12">
        <v>24490</v>
      </c>
      <c r="E447" s="12">
        <v>156</v>
      </c>
      <c r="F447" s="12">
        <v>157</v>
      </c>
      <c r="G447" s="12" t="s">
        <v>4663</v>
      </c>
      <c r="H447" s="12" t="s">
        <v>63</v>
      </c>
      <c r="I447" s="12">
        <v>67</v>
      </c>
      <c r="J447" s="12" t="s">
        <v>105</v>
      </c>
      <c r="K447" s="12" t="s">
        <v>106</v>
      </c>
      <c r="L447" s="12" t="s">
        <v>3380</v>
      </c>
      <c r="M447" s="12" t="s">
        <v>4577</v>
      </c>
      <c r="N447" s="12" t="s">
        <v>67</v>
      </c>
      <c r="O447" s="12" t="s">
        <v>4576</v>
      </c>
      <c r="P447" s="12" t="s">
        <v>4504</v>
      </c>
      <c r="Q447" s="12" t="s">
        <v>2288</v>
      </c>
      <c r="R447" s="12">
        <v>70</v>
      </c>
      <c r="S447" s="12" t="s">
        <v>4584</v>
      </c>
      <c r="T447" s="12" t="s">
        <v>72</v>
      </c>
      <c r="U447" s="12" t="s">
        <v>142</v>
      </c>
      <c r="V447" s="12" t="s">
        <v>74</v>
      </c>
      <c r="W447" s="12" t="s">
        <v>4507</v>
      </c>
      <c r="X447" s="265" t="s">
        <v>4721</v>
      </c>
      <c r="Y447" s="12"/>
      <c r="Z447" s="12"/>
      <c r="AA447" s="257" t="s">
        <v>3856</v>
      </c>
      <c r="AB447" s="12" t="s">
        <v>114</v>
      </c>
      <c r="AC447" s="266" t="str">
        <f>HYPERLINK("https://gcsvt.ru/svetodiodnyie-svetilniki/svt-str-var-156w-45x140-gl-c/","Ссылка")</f>
        <v>Ссылка</v>
      </c>
      <c r="AD447" s="167">
        <v>25883</v>
      </c>
    </row>
    <row r="448" spans="1:30" s="161" customFormat="1" ht="39.950000000000003" hidden="1" customHeight="1" outlineLevel="1" x14ac:dyDescent="0.25">
      <c r="A448"/>
      <c r="B448" s="21" t="s">
        <v>4627</v>
      </c>
      <c r="C448" s="80" t="s">
        <v>4590</v>
      </c>
      <c r="D448" s="12">
        <v>24490</v>
      </c>
      <c r="E448" s="12">
        <v>156</v>
      </c>
      <c r="F448" s="12">
        <v>157</v>
      </c>
      <c r="G448" s="12" t="s">
        <v>4664</v>
      </c>
      <c r="H448" s="12" t="s">
        <v>177</v>
      </c>
      <c r="I448" s="12">
        <v>67</v>
      </c>
      <c r="J448" s="12" t="s">
        <v>105</v>
      </c>
      <c r="K448" s="12" t="s">
        <v>106</v>
      </c>
      <c r="L448" s="12" t="s">
        <v>3380</v>
      </c>
      <c r="M448" s="12" t="s">
        <v>4577</v>
      </c>
      <c r="N448" s="12" t="s">
        <v>67</v>
      </c>
      <c r="O448" s="12" t="s">
        <v>4576</v>
      </c>
      <c r="P448" s="12" t="s">
        <v>4504</v>
      </c>
      <c r="Q448" s="12" t="s">
        <v>2288</v>
      </c>
      <c r="R448" s="12">
        <v>70</v>
      </c>
      <c r="S448" s="12" t="s">
        <v>4584</v>
      </c>
      <c r="T448" s="12" t="s">
        <v>72</v>
      </c>
      <c r="U448" s="12" t="s">
        <v>142</v>
      </c>
      <c r="V448" s="12" t="s">
        <v>74</v>
      </c>
      <c r="W448" s="12" t="s">
        <v>257</v>
      </c>
      <c r="X448" s="265" t="s">
        <v>4726</v>
      </c>
      <c r="Y448" s="12"/>
      <c r="Z448" s="12"/>
      <c r="AA448" s="257" t="s">
        <v>3856</v>
      </c>
      <c r="AB448" s="12" t="s">
        <v>114</v>
      </c>
      <c r="AC448" s="266" t="str">
        <f>HYPERLINK("https://gcsvt.ru/svetodiodnyie-svetilniki/svt-str-var-156w-20-gl/","Ссылка")</f>
        <v>Ссылка</v>
      </c>
      <c r="AD448" s="167">
        <v>25883</v>
      </c>
    </row>
    <row r="449" spans="1:30" s="161" customFormat="1" ht="39.950000000000003" hidden="1" customHeight="1" outlineLevel="1" x14ac:dyDescent="0.25">
      <c r="A449"/>
      <c r="B449" s="21" t="s">
        <v>4627</v>
      </c>
      <c r="C449" s="80" t="s">
        <v>4589</v>
      </c>
      <c r="D449" s="12">
        <v>24490</v>
      </c>
      <c r="E449" s="12">
        <v>156</v>
      </c>
      <c r="F449" s="12">
        <v>157</v>
      </c>
      <c r="G449" s="12" t="s">
        <v>4665</v>
      </c>
      <c r="H449" s="12" t="s">
        <v>180</v>
      </c>
      <c r="I449" s="12">
        <v>67</v>
      </c>
      <c r="J449" s="12" t="s">
        <v>105</v>
      </c>
      <c r="K449" s="12" t="s">
        <v>106</v>
      </c>
      <c r="L449" s="12" t="s">
        <v>3380</v>
      </c>
      <c r="M449" s="12" t="s">
        <v>4577</v>
      </c>
      <c r="N449" s="12" t="s">
        <v>67</v>
      </c>
      <c r="O449" s="12" t="s">
        <v>4576</v>
      </c>
      <c r="P449" s="12" t="s">
        <v>4504</v>
      </c>
      <c r="Q449" s="12" t="s">
        <v>2288</v>
      </c>
      <c r="R449" s="12">
        <v>70</v>
      </c>
      <c r="S449" s="12" t="s">
        <v>4584</v>
      </c>
      <c r="T449" s="12" t="s">
        <v>72</v>
      </c>
      <c r="U449" s="12" t="s">
        <v>142</v>
      </c>
      <c r="V449" s="12" t="s">
        <v>74</v>
      </c>
      <c r="W449" s="12" t="s">
        <v>257</v>
      </c>
      <c r="X449" s="265" t="s">
        <v>4726</v>
      </c>
      <c r="Y449" s="12"/>
      <c r="Z449" s="12"/>
      <c r="AA449" s="257" t="s">
        <v>3856</v>
      </c>
      <c r="AB449" s="12" t="s">
        <v>114</v>
      </c>
      <c r="AC449" s="266" t="str">
        <f>HYPERLINK("https://gcsvt.ru/svetodiodnyie-svetilniki/svt-str-var-156w-35-gl/","Ссылка")</f>
        <v>Ссылка</v>
      </c>
      <c r="AD449" s="167">
        <v>25883</v>
      </c>
    </row>
    <row r="450" spans="1:30" s="161" customFormat="1" ht="39.950000000000003" hidden="1" customHeight="1" outlineLevel="1" x14ac:dyDescent="0.25">
      <c r="A450"/>
      <c r="B450" s="21" t="s">
        <v>4627</v>
      </c>
      <c r="C450" s="80" t="s">
        <v>4588</v>
      </c>
      <c r="D450" s="12">
        <v>24490</v>
      </c>
      <c r="E450" s="12">
        <v>156</v>
      </c>
      <c r="F450" s="12">
        <v>157</v>
      </c>
      <c r="G450" s="12" t="s">
        <v>4666</v>
      </c>
      <c r="H450" s="12" t="s">
        <v>183</v>
      </c>
      <c r="I450" s="12">
        <v>67</v>
      </c>
      <c r="J450" s="12" t="s">
        <v>105</v>
      </c>
      <c r="K450" s="12" t="s">
        <v>106</v>
      </c>
      <c r="L450" s="12" t="s">
        <v>3380</v>
      </c>
      <c r="M450" s="12" t="s">
        <v>4577</v>
      </c>
      <c r="N450" s="12" t="s">
        <v>67</v>
      </c>
      <c r="O450" s="12" t="s">
        <v>4576</v>
      </c>
      <c r="P450" s="12" t="s">
        <v>4504</v>
      </c>
      <c r="Q450" s="12" t="s">
        <v>2288</v>
      </c>
      <c r="R450" s="12">
        <v>70</v>
      </c>
      <c r="S450" s="12" t="s">
        <v>4584</v>
      </c>
      <c r="T450" s="12" t="s">
        <v>72</v>
      </c>
      <c r="U450" s="12" t="s">
        <v>142</v>
      </c>
      <c r="V450" s="12" t="s">
        <v>74</v>
      </c>
      <c r="W450" s="12" t="s">
        <v>257</v>
      </c>
      <c r="X450" s="265" t="s">
        <v>4726</v>
      </c>
      <c r="Y450" s="12"/>
      <c r="Z450" s="12"/>
      <c r="AA450" s="257" t="s">
        <v>3856</v>
      </c>
      <c r="AB450" s="12" t="s">
        <v>114</v>
      </c>
      <c r="AC450" s="266" t="str">
        <f>HYPERLINK("https://gcsvt.ru/svetodiodnyie-svetilniki/svt-str-var-156w-65-gl/","Ссылка")</f>
        <v>Ссылка</v>
      </c>
      <c r="AD450" s="167">
        <v>25883</v>
      </c>
    </row>
    <row r="451" spans="1:30" s="161" customFormat="1" ht="39.950000000000003" hidden="1" customHeight="1" outlineLevel="1" x14ac:dyDescent="0.25">
      <c r="A451"/>
      <c r="B451" s="21" t="s">
        <v>4627</v>
      </c>
      <c r="C451" s="80" t="s">
        <v>4587</v>
      </c>
      <c r="D451" s="12">
        <v>24490</v>
      </c>
      <c r="E451" s="12">
        <v>156</v>
      </c>
      <c r="F451" s="12">
        <v>157</v>
      </c>
      <c r="G451" s="12" t="s">
        <v>4667</v>
      </c>
      <c r="H451" s="12" t="s">
        <v>186</v>
      </c>
      <c r="I451" s="12">
        <v>67</v>
      </c>
      <c r="J451" s="12" t="s">
        <v>105</v>
      </c>
      <c r="K451" s="12" t="s">
        <v>106</v>
      </c>
      <c r="L451" s="12" t="s">
        <v>3380</v>
      </c>
      <c r="M451" s="12" t="s">
        <v>4577</v>
      </c>
      <c r="N451" s="12" t="s">
        <v>67</v>
      </c>
      <c r="O451" s="12" t="s">
        <v>4576</v>
      </c>
      <c r="P451" s="12" t="s">
        <v>4504</v>
      </c>
      <c r="Q451" s="12" t="s">
        <v>2288</v>
      </c>
      <c r="R451" s="12">
        <v>70</v>
      </c>
      <c r="S451" s="12" t="s">
        <v>4584</v>
      </c>
      <c r="T451" s="12" t="s">
        <v>72</v>
      </c>
      <c r="U451" s="12" t="s">
        <v>142</v>
      </c>
      <c r="V451" s="12" t="s">
        <v>74</v>
      </c>
      <c r="W451" s="12" t="s">
        <v>257</v>
      </c>
      <c r="X451" s="265" t="s">
        <v>4726</v>
      </c>
      <c r="Y451" s="12"/>
      <c r="Z451" s="12"/>
      <c r="AA451" s="257" t="s">
        <v>3856</v>
      </c>
      <c r="AB451" s="12" t="s">
        <v>114</v>
      </c>
      <c r="AC451" s="266" t="str">
        <f>HYPERLINK("https://gcsvt.ru/svetodiodnyie-svetilniki/svt-str-var-156w-100-gl/","Ссылка")</f>
        <v>Ссылка</v>
      </c>
      <c r="AD451" s="167">
        <v>25883</v>
      </c>
    </row>
    <row r="452" spans="1:30" s="161" customFormat="1" ht="39.950000000000003" hidden="1" customHeight="1" outlineLevel="1" x14ac:dyDescent="0.25">
      <c r="A452"/>
      <c r="B452" s="21" t="s">
        <v>4627</v>
      </c>
      <c r="C452" s="80" t="s">
        <v>4586</v>
      </c>
      <c r="D452" s="12">
        <v>24490</v>
      </c>
      <c r="E452" s="12">
        <v>156</v>
      </c>
      <c r="F452" s="12">
        <v>157</v>
      </c>
      <c r="G452" s="12" t="s">
        <v>4668</v>
      </c>
      <c r="H452" s="12" t="s">
        <v>189</v>
      </c>
      <c r="I452" s="12">
        <v>67</v>
      </c>
      <c r="J452" s="12" t="s">
        <v>105</v>
      </c>
      <c r="K452" s="12" t="s">
        <v>106</v>
      </c>
      <c r="L452" s="12" t="s">
        <v>3380</v>
      </c>
      <c r="M452" s="12" t="s">
        <v>4577</v>
      </c>
      <c r="N452" s="12" t="s">
        <v>67</v>
      </c>
      <c r="O452" s="12" t="s">
        <v>4576</v>
      </c>
      <c r="P452" s="12" t="s">
        <v>4504</v>
      </c>
      <c r="Q452" s="12" t="s">
        <v>2288</v>
      </c>
      <c r="R452" s="12">
        <v>70</v>
      </c>
      <c r="S452" s="12" t="s">
        <v>4584</v>
      </c>
      <c r="T452" s="12" t="s">
        <v>72</v>
      </c>
      <c r="U452" s="12" t="s">
        <v>142</v>
      </c>
      <c r="V452" s="12" t="s">
        <v>74</v>
      </c>
      <c r="W452" s="12" t="s">
        <v>257</v>
      </c>
      <c r="X452" s="265" t="s">
        <v>4726</v>
      </c>
      <c r="Y452" s="12"/>
      <c r="Z452" s="12"/>
      <c r="AA452" s="257" t="s">
        <v>3856</v>
      </c>
      <c r="AB452" s="12" t="s">
        <v>114</v>
      </c>
      <c r="AC452" s="266" t="str">
        <f>HYPERLINK("https://gcsvt.ru/svetodiodnyie-svetilniki/svt-str-var-156w-30x120-gl/","Ссылка")</f>
        <v>Ссылка</v>
      </c>
      <c r="AD452" s="167">
        <v>25883</v>
      </c>
    </row>
    <row r="453" spans="1:30" s="161" customFormat="1" ht="39.950000000000003" hidden="1" customHeight="1" outlineLevel="1" x14ac:dyDescent="0.25">
      <c r="A453"/>
      <c r="B453" s="21" t="s">
        <v>4627</v>
      </c>
      <c r="C453" s="80" t="s">
        <v>4585</v>
      </c>
      <c r="D453" s="12">
        <v>24490</v>
      </c>
      <c r="E453" s="12">
        <v>156</v>
      </c>
      <c r="F453" s="12">
        <v>157</v>
      </c>
      <c r="G453" s="12" t="s">
        <v>4669</v>
      </c>
      <c r="H453" s="12" t="s">
        <v>192</v>
      </c>
      <c r="I453" s="12">
        <v>67</v>
      </c>
      <c r="J453" s="12" t="s">
        <v>105</v>
      </c>
      <c r="K453" s="12" t="s">
        <v>106</v>
      </c>
      <c r="L453" s="12" t="s">
        <v>3380</v>
      </c>
      <c r="M453" s="12" t="s">
        <v>4577</v>
      </c>
      <c r="N453" s="12" t="s">
        <v>67</v>
      </c>
      <c r="O453" s="12" t="s">
        <v>4576</v>
      </c>
      <c r="P453" s="12" t="s">
        <v>4504</v>
      </c>
      <c r="Q453" s="12" t="s">
        <v>2288</v>
      </c>
      <c r="R453" s="12">
        <v>70</v>
      </c>
      <c r="S453" s="12" t="s">
        <v>4584</v>
      </c>
      <c r="T453" s="12" t="s">
        <v>72</v>
      </c>
      <c r="U453" s="12" t="s">
        <v>142</v>
      </c>
      <c r="V453" s="12" t="s">
        <v>74</v>
      </c>
      <c r="W453" s="12" t="s">
        <v>257</v>
      </c>
      <c r="X453" s="265" t="s">
        <v>4726</v>
      </c>
      <c r="Y453" s="12"/>
      <c r="Z453" s="12"/>
      <c r="AA453" s="257" t="s">
        <v>3856</v>
      </c>
      <c r="AB453" s="12" t="s">
        <v>114</v>
      </c>
      <c r="AC453" s="266" t="str">
        <f>HYPERLINK("https://gcsvt.ru/svetodiodnyie-svetilniki/svt-str-var-156w-150-gl/","Ссылка")</f>
        <v>Ссылка</v>
      </c>
      <c r="AD453" s="167">
        <v>25883</v>
      </c>
    </row>
    <row r="454" spans="1:30" s="161" customFormat="1" ht="39.950000000000003" hidden="1" customHeight="1" outlineLevel="1" x14ac:dyDescent="0.25">
      <c r="A454"/>
      <c r="B454" s="21" t="s">
        <v>4627</v>
      </c>
      <c r="C454" s="80" t="s">
        <v>4736</v>
      </c>
      <c r="D454" s="12">
        <v>32970</v>
      </c>
      <c r="E454" s="12">
        <v>210</v>
      </c>
      <c r="F454" s="12">
        <v>157</v>
      </c>
      <c r="G454" s="12" t="s">
        <v>4670</v>
      </c>
      <c r="H454" s="12" t="s">
        <v>63</v>
      </c>
      <c r="I454" s="12">
        <v>67</v>
      </c>
      <c r="J454" s="12" t="s">
        <v>105</v>
      </c>
      <c r="K454" s="12" t="s">
        <v>106</v>
      </c>
      <c r="L454" s="12" t="s">
        <v>3380</v>
      </c>
      <c r="M454" s="12" t="s">
        <v>4577</v>
      </c>
      <c r="N454" s="12" t="s">
        <v>67</v>
      </c>
      <c r="O454" s="12" t="s">
        <v>4576</v>
      </c>
      <c r="P454" s="12" t="s">
        <v>4504</v>
      </c>
      <c r="Q454" s="12" t="s">
        <v>2288</v>
      </c>
      <c r="R454" s="12">
        <v>70</v>
      </c>
      <c r="S454" s="12" t="s">
        <v>4575</v>
      </c>
      <c r="T454" s="12" t="s">
        <v>72</v>
      </c>
      <c r="U454" s="12" t="s">
        <v>142</v>
      </c>
      <c r="V454" s="12" t="s">
        <v>74</v>
      </c>
      <c r="W454" s="12" t="s">
        <v>4507</v>
      </c>
      <c r="X454" s="12" t="s">
        <v>4722</v>
      </c>
      <c r="Y454" s="12"/>
      <c r="Z454" s="12"/>
      <c r="AA454" s="257" t="s">
        <v>3856</v>
      </c>
      <c r="AB454" s="12" t="s">
        <v>114</v>
      </c>
      <c r="AC454" s="266" t="str">
        <f>HYPERLINK("https://gcsvt.ru/svetodiodnyie-svetilniki/svt-str-var-210w-45x140-gl-c/","Ссылка")</f>
        <v>Ссылка</v>
      </c>
      <c r="AD454" s="167">
        <v>31000</v>
      </c>
    </row>
    <row r="455" spans="1:30" s="161" customFormat="1" ht="39.950000000000003" hidden="1" customHeight="1" outlineLevel="1" x14ac:dyDescent="0.25">
      <c r="A455"/>
      <c r="B455" s="21" t="s">
        <v>4627</v>
      </c>
      <c r="C455" s="80" t="s">
        <v>4583</v>
      </c>
      <c r="D455" s="12">
        <v>32970</v>
      </c>
      <c r="E455" s="12">
        <v>210</v>
      </c>
      <c r="F455" s="12">
        <v>157</v>
      </c>
      <c r="G455" s="12" t="s">
        <v>4671</v>
      </c>
      <c r="H455" s="12" t="s">
        <v>177</v>
      </c>
      <c r="I455" s="12">
        <v>67</v>
      </c>
      <c r="J455" s="12" t="s">
        <v>105</v>
      </c>
      <c r="K455" s="12" t="s">
        <v>106</v>
      </c>
      <c r="L455" s="12" t="s">
        <v>3380</v>
      </c>
      <c r="M455" s="12" t="s">
        <v>4577</v>
      </c>
      <c r="N455" s="12" t="s">
        <v>67</v>
      </c>
      <c r="O455" s="12" t="s">
        <v>4576</v>
      </c>
      <c r="P455" s="12" t="s">
        <v>4504</v>
      </c>
      <c r="Q455" s="12" t="s">
        <v>2288</v>
      </c>
      <c r="R455" s="12">
        <v>70</v>
      </c>
      <c r="S455" s="12" t="s">
        <v>4575</v>
      </c>
      <c r="T455" s="12" t="s">
        <v>72</v>
      </c>
      <c r="U455" s="12" t="s">
        <v>142</v>
      </c>
      <c r="V455" s="12" t="s">
        <v>74</v>
      </c>
      <c r="W455" s="12" t="s">
        <v>257</v>
      </c>
      <c r="X455" s="265" t="s">
        <v>4727</v>
      </c>
      <c r="Y455" s="12"/>
      <c r="Z455" s="12"/>
      <c r="AA455" s="257" t="s">
        <v>3856</v>
      </c>
      <c r="AB455" s="12" t="s">
        <v>114</v>
      </c>
      <c r="AC455" s="266" t="str">
        <f>HYPERLINK("https://gcsvt.ru/svetodiodnyie-svetilniki/svt-str-var-210w-20-gl/","Ссылка")</f>
        <v>Ссылка</v>
      </c>
      <c r="AD455" s="167">
        <v>31000</v>
      </c>
    </row>
    <row r="456" spans="1:30" s="161" customFormat="1" ht="39.950000000000003" hidden="1" customHeight="1" outlineLevel="1" x14ac:dyDescent="0.25">
      <c r="A456"/>
      <c r="B456" s="21" t="s">
        <v>4627</v>
      </c>
      <c r="C456" s="80" t="s">
        <v>4582</v>
      </c>
      <c r="D456" s="12">
        <v>32970</v>
      </c>
      <c r="E456" s="12">
        <v>210</v>
      </c>
      <c r="F456" s="12">
        <v>157</v>
      </c>
      <c r="G456" s="12" t="s">
        <v>4672</v>
      </c>
      <c r="H456" s="12" t="s">
        <v>180</v>
      </c>
      <c r="I456" s="12">
        <v>67</v>
      </c>
      <c r="J456" s="12" t="s">
        <v>105</v>
      </c>
      <c r="K456" s="12" t="s">
        <v>106</v>
      </c>
      <c r="L456" s="12" t="s">
        <v>3380</v>
      </c>
      <c r="M456" s="12" t="s">
        <v>4577</v>
      </c>
      <c r="N456" s="12" t="s">
        <v>67</v>
      </c>
      <c r="O456" s="12" t="s">
        <v>4576</v>
      </c>
      <c r="P456" s="12" t="s">
        <v>4504</v>
      </c>
      <c r="Q456" s="12" t="s">
        <v>2288</v>
      </c>
      <c r="R456" s="12">
        <v>70</v>
      </c>
      <c r="S456" s="12" t="s">
        <v>4575</v>
      </c>
      <c r="T456" s="12" t="s">
        <v>72</v>
      </c>
      <c r="U456" s="12" t="s">
        <v>142</v>
      </c>
      <c r="V456" s="12" t="s">
        <v>74</v>
      </c>
      <c r="W456" s="12" t="s">
        <v>257</v>
      </c>
      <c r="X456" s="265" t="s">
        <v>4727</v>
      </c>
      <c r="Y456" s="12"/>
      <c r="Z456" s="12"/>
      <c r="AA456" s="257" t="s">
        <v>3856</v>
      </c>
      <c r="AB456" s="12" t="s">
        <v>114</v>
      </c>
      <c r="AC456" s="266" t="str">
        <f>HYPERLINK("https://gcsvt.ru/svetodiodnyie-svetilniki/svt-str-var-210w-35-gl/","Ссылка")</f>
        <v>Ссылка</v>
      </c>
      <c r="AD456" s="167">
        <v>31000</v>
      </c>
    </row>
    <row r="457" spans="1:30" s="161" customFormat="1" ht="39.950000000000003" hidden="1" customHeight="1" outlineLevel="1" x14ac:dyDescent="0.25">
      <c r="A457"/>
      <c r="B457" s="21" t="s">
        <v>4627</v>
      </c>
      <c r="C457" s="80" t="s">
        <v>4581</v>
      </c>
      <c r="D457" s="12">
        <v>32970</v>
      </c>
      <c r="E457" s="12">
        <v>210</v>
      </c>
      <c r="F457" s="12">
        <v>157</v>
      </c>
      <c r="G457" s="12" t="s">
        <v>4673</v>
      </c>
      <c r="H457" s="12" t="s">
        <v>183</v>
      </c>
      <c r="I457" s="12">
        <v>67</v>
      </c>
      <c r="J457" s="12" t="s">
        <v>105</v>
      </c>
      <c r="K457" s="12" t="s">
        <v>106</v>
      </c>
      <c r="L457" s="12" t="s">
        <v>3380</v>
      </c>
      <c r="M457" s="12" t="s">
        <v>4577</v>
      </c>
      <c r="N457" s="12" t="s">
        <v>67</v>
      </c>
      <c r="O457" s="12" t="s">
        <v>4576</v>
      </c>
      <c r="P457" s="12" t="s">
        <v>4504</v>
      </c>
      <c r="Q457" s="12" t="s">
        <v>2288</v>
      </c>
      <c r="R457" s="12">
        <v>70</v>
      </c>
      <c r="S457" s="12" t="s">
        <v>4575</v>
      </c>
      <c r="T457" s="12" t="s">
        <v>72</v>
      </c>
      <c r="U457" s="12" t="s">
        <v>142</v>
      </c>
      <c r="V457" s="12" t="s">
        <v>74</v>
      </c>
      <c r="W457" s="12" t="s">
        <v>257</v>
      </c>
      <c r="X457" s="265" t="s">
        <v>4727</v>
      </c>
      <c r="Y457" s="12"/>
      <c r="Z457" s="12"/>
      <c r="AA457" s="257" t="s">
        <v>3856</v>
      </c>
      <c r="AB457" s="12" t="s">
        <v>114</v>
      </c>
      <c r="AC457" s="266" t="str">
        <f>HYPERLINK("https://gcsvt.ru/svetodiodnyie-svetilniki/svt-str-var-210w-65-gl/","Ссылка")</f>
        <v>Ссылка</v>
      </c>
      <c r="AD457" s="167">
        <v>31000</v>
      </c>
    </row>
    <row r="458" spans="1:30" s="161" customFormat="1" ht="39.950000000000003" hidden="1" customHeight="1" outlineLevel="1" x14ac:dyDescent="0.25">
      <c r="A458"/>
      <c r="B458" s="21" t="s">
        <v>4627</v>
      </c>
      <c r="C458" s="80" t="s">
        <v>4580</v>
      </c>
      <c r="D458" s="12">
        <v>32970</v>
      </c>
      <c r="E458" s="12">
        <v>210</v>
      </c>
      <c r="F458" s="12">
        <v>157</v>
      </c>
      <c r="G458" s="12" t="s">
        <v>4674</v>
      </c>
      <c r="H458" s="12" t="s">
        <v>186</v>
      </c>
      <c r="I458" s="12">
        <v>67</v>
      </c>
      <c r="J458" s="12" t="s">
        <v>105</v>
      </c>
      <c r="K458" s="12" t="s">
        <v>106</v>
      </c>
      <c r="L458" s="12" t="s">
        <v>3380</v>
      </c>
      <c r="M458" s="12" t="s">
        <v>4577</v>
      </c>
      <c r="N458" s="12" t="s">
        <v>67</v>
      </c>
      <c r="O458" s="12" t="s">
        <v>4576</v>
      </c>
      <c r="P458" s="12" t="s">
        <v>4504</v>
      </c>
      <c r="Q458" s="12" t="s">
        <v>2288</v>
      </c>
      <c r="R458" s="12">
        <v>70</v>
      </c>
      <c r="S458" s="12" t="s">
        <v>4575</v>
      </c>
      <c r="T458" s="12" t="s">
        <v>72</v>
      </c>
      <c r="U458" s="12" t="s">
        <v>142</v>
      </c>
      <c r="V458" s="12" t="s">
        <v>74</v>
      </c>
      <c r="W458" s="12" t="s">
        <v>257</v>
      </c>
      <c r="X458" s="265" t="s">
        <v>4727</v>
      </c>
      <c r="Y458" s="12"/>
      <c r="Z458" s="12"/>
      <c r="AA458" s="257" t="s">
        <v>3856</v>
      </c>
      <c r="AB458" s="12" t="s">
        <v>114</v>
      </c>
      <c r="AC458" s="266" t="str">
        <f>HYPERLINK("https://gcsvt.ru/svetodiodnyie-svetilniki/svt-str-var-210w-100-gl/","Ссылка")</f>
        <v>Ссылка</v>
      </c>
      <c r="AD458" s="167">
        <v>31000</v>
      </c>
    </row>
    <row r="459" spans="1:30" s="161" customFormat="1" ht="39.950000000000003" hidden="1" customHeight="1" outlineLevel="1" x14ac:dyDescent="0.25">
      <c r="A459"/>
      <c r="B459" s="21" t="s">
        <v>4627</v>
      </c>
      <c r="C459" s="80" t="s">
        <v>4579</v>
      </c>
      <c r="D459" s="12">
        <v>32970</v>
      </c>
      <c r="E459" s="12">
        <v>210</v>
      </c>
      <c r="F459" s="12">
        <v>157</v>
      </c>
      <c r="G459" s="12" t="s">
        <v>4675</v>
      </c>
      <c r="H459" s="12" t="s">
        <v>189</v>
      </c>
      <c r="I459" s="12">
        <v>67</v>
      </c>
      <c r="J459" s="12" t="s">
        <v>105</v>
      </c>
      <c r="K459" s="12" t="s">
        <v>106</v>
      </c>
      <c r="L459" s="12" t="s">
        <v>3380</v>
      </c>
      <c r="M459" s="12" t="s">
        <v>4577</v>
      </c>
      <c r="N459" s="12" t="s">
        <v>67</v>
      </c>
      <c r="O459" s="12" t="s">
        <v>4576</v>
      </c>
      <c r="P459" s="12" t="s">
        <v>4504</v>
      </c>
      <c r="Q459" s="12" t="s">
        <v>2288</v>
      </c>
      <c r="R459" s="12">
        <v>70</v>
      </c>
      <c r="S459" s="12" t="s">
        <v>4575</v>
      </c>
      <c r="T459" s="12" t="s">
        <v>72</v>
      </c>
      <c r="U459" s="12" t="s">
        <v>142</v>
      </c>
      <c r="V459" s="12" t="s">
        <v>74</v>
      </c>
      <c r="W459" s="12" t="s">
        <v>257</v>
      </c>
      <c r="X459" s="265" t="s">
        <v>4727</v>
      </c>
      <c r="Y459" s="12"/>
      <c r="Z459" s="12"/>
      <c r="AA459" s="257" t="s">
        <v>3856</v>
      </c>
      <c r="AB459" s="12" t="s">
        <v>114</v>
      </c>
      <c r="AC459" s="266" t="str">
        <f>HYPERLINK("https://gcsvt.ru/svetodiodnyie-svetilniki/svt-str-var-210w-30x120-gl/","Ссылка")</f>
        <v>Ссылка</v>
      </c>
      <c r="AD459" s="167">
        <v>31000</v>
      </c>
    </row>
    <row r="460" spans="1:30" s="161" customFormat="1" ht="39.950000000000003" hidden="1" customHeight="1" outlineLevel="1" x14ac:dyDescent="0.25">
      <c r="A460"/>
      <c r="B460" s="21" t="s">
        <v>4627</v>
      </c>
      <c r="C460" s="80" t="s">
        <v>4578</v>
      </c>
      <c r="D460" s="263">
        <v>32970</v>
      </c>
      <c r="E460" s="263">
        <v>210</v>
      </c>
      <c r="F460" s="263">
        <v>157</v>
      </c>
      <c r="G460" s="263" t="s">
        <v>4676</v>
      </c>
      <c r="H460" s="263" t="s">
        <v>192</v>
      </c>
      <c r="I460" s="263">
        <v>67</v>
      </c>
      <c r="J460" s="263" t="s">
        <v>105</v>
      </c>
      <c r="K460" s="263" t="s">
        <v>106</v>
      </c>
      <c r="L460" s="263" t="s">
        <v>3380</v>
      </c>
      <c r="M460" s="263" t="s">
        <v>4577</v>
      </c>
      <c r="N460" s="263" t="s">
        <v>67</v>
      </c>
      <c r="O460" s="263" t="s">
        <v>4576</v>
      </c>
      <c r="P460" s="263" t="s">
        <v>4504</v>
      </c>
      <c r="Q460" s="263" t="s">
        <v>2288</v>
      </c>
      <c r="R460" s="263">
        <v>70</v>
      </c>
      <c r="S460" s="263" t="s">
        <v>4575</v>
      </c>
      <c r="T460" s="263" t="s">
        <v>72</v>
      </c>
      <c r="U460" s="263" t="s">
        <v>142</v>
      </c>
      <c r="V460" s="263" t="s">
        <v>74</v>
      </c>
      <c r="W460" s="263" t="s">
        <v>257</v>
      </c>
      <c r="X460" s="265" t="s">
        <v>4727</v>
      </c>
      <c r="Y460" s="263"/>
      <c r="Z460" s="263"/>
      <c r="AA460" s="257" t="s">
        <v>3856</v>
      </c>
      <c r="AB460" s="263" t="s">
        <v>114</v>
      </c>
      <c r="AC460" s="266" t="str">
        <f>HYPERLINK("https://gcsvt.ru/svetodiodnyie-svetilniki/svt-str-var-210w-150-gl/","Ссылка")</f>
        <v>Ссылка</v>
      </c>
      <c r="AD460" s="167">
        <v>31000</v>
      </c>
    </row>
    <row r="461" spans="1:30" s="161" customFormat="1" ht="39.950000000000003" hidden="1" customHeight="1" outlineLevel="1" x14ac:dyDescent="0.25">
      <c r="A461"/>
      <c r="B461" s="47" t="s">
        <v>4702</v>
      </c>
      <c r="C461" s="81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257"/>
      <c r="AB461" s="12"/>
      <c r="AC461" s="228"/>
      <c r="AD461" s="167"/>
    </row>
    <row r="462" spans="1:30" s="161" customFormat="1" ht="39.950000000000003" customHeight="1" collapsed="1" x14ac:dyDescent="0.25">
      <c r="A462" s="185"/>
      <c r="B462" s="195" t="s">
        <v>4626</v>
      </c>
      <c r="C462" s="202"/>
      <c r="D462" s="163"/>
      <c r="E462" s="163"/>
      <c r="F462" s="163"/>
      <c r="G462" s="163"/>
      <c r="H462" s="163"/>
      <c r="I462" s="163"/>
      <c r="J462" s="163"/>
      <c r="K462" s="75"/>
      <c r="L462" s="163"/>
      <c r="M462" s="75"/>
      <c r="N462" s="163"/>
      <c r="O462" s="75"/>
      <c r="P462" s="163"/>
      <c r="Q462" s="75"/>
      <c r="R462" s="163"/>
      <c r="S462" s="163"/>
      <c r="T462" s="163"/>
      <c r="U462" s="163"/>
      <c r="V462" s="75"/>
      <c r="W462" s="75"/>
      <c r="X462" s="163"/>
      <c r="Y462" s="163"/>
      <c r="Z462" s="163"/>
      <c r="AA462" s="163"/>
      <c r="AB462" s="163"/>
      <c r="AC462" s="227"/>
      <c r="AD462" s="164"/>
    </row>
    <row r="463" spans="1:30" s="161" customFormat="1" ht="39.950000000000003" hidden="1" customHeight="1" outlineLevel="1" collapsed="1" x14ac:dyDescent="0.25">
      <c r="A463" s="185"/>
      <c r="B463" s="219" t="s">
        <v>135</v>
      </c>
      <c r="C463" s="218"/>
      <c r="K463" s="21"/>
      <c r="M463" s="21"/>
      <c r="O463" s="21"/>
      <c r="Q463" s="21"/>
      <c r="V463" s="21"/>
      <c r="W463" s="21"/>
      <c r="AC463" s="228"/>
      <c r="AD463" s="167"/>
    </row>
    <row r="464" spans="1:30" s="161" customFormat="1" ht="39.950000000000003" hidden="1" customHeight="1" outlineLevel="2" x14ac:dyDescent="0.25">
      <c r="A464" s="171"/>
      <c r="B464" s="21" t="s">
        <v>135</v>
      </c>
      <c r="C464" s="159" t="s">
        <v>136</v>
      </c>
      <c r="D464" s="161">
        <v>4990</v>
      </c>
      <c r="E464" s="161">
        <v>31</v>
      </c>
      <c r="F464" s="161">
        <v>160</v>
      </c>
      <c r="G464" s="161" t="s">
        <v>137</v>
      </c>
      <c r="H464" s="161" t="s">
        <v>138</v>
      </c>
      <c r="I464" s="161">
        <v>67</v>
      </c>
      <c r="J464" s="161" t="s">
        <v>105</v>
      </c>
      <c r="K464" s="21" t="s">
        <v>106</v>
      </c>
      <c r="L464" s="161" t="s">
        <v>3380</v>
      </c>
      <c r="M464" s="21" t="s">
        <v>107</v>
      </c>
      <c r="N464" s="161" t="s">
        <v>108</v>
      </c>
      <c r="O464" s="21" t="s">
        <v>139</v>
      </c>
      <c r="P464" s="161" t="s">
        <v>109</v>
      </c>
      <c r="Q464" s="21" t="s">
        <v>70</v>
      </c>
      <c r="R464" s="161">
        <v>80</v>
      </c>
      <c r="S464" s="161" t="s">
        <v>140</v>
      </c>
      <c r="T464" s="161" t="s">
        <v>141</v>
      </c>
      <c r="U464" s="161" t="s">
        <v>142</v>
      </c>
      <c r="V464" s="21" t="s">
        <v>74</v>
      </c>
      <c r="W464" s="21" t="s">
        <v>112</v>
      </c>
      <c r="X464" s="161" t="s">
        <v>143</v>
      </c>
      <c r="Y464" s="161">
        <v>0.01</v>
      </c>
      <c r="Z464" s="161">
        <v>1.7</v>
      </c>
      <c r="AA464" s="161" t="s">
        <v>144</v>
      </c>
      <c r="AB464" s="161" t="s">
        <v>114</v>
      </c>
      <c r="AC464" s="266" t="str">
        <f>HYPERLINK("https://gcsvt.ru/svetodiodnyie-svetilniki/svt-str-mpro-32w/","Ссылка")</f>
        <v>Ссылка</v>
      </c>
      <c r="AD464" s="167">
        <v>4694</v>
      </c>
    </row>
    <row r="465" spans="1:30" s="161" customFormat="1" ht="39.950000000000003" hidden="1" customHeight="1" outlineLevel="2" x14ac:dyDescent="0.25">
      <c r="A465" s="171"/>
      <c r="B465" s="21" t="s">
        <v>135</v>
      </c>
      <c r="C465" s="159" t="s">
        <v>145</v>
      </c>
      <c r="D465" s="161">
        <v>7790</v>
      </c>
      <c r="E465" s="161">
        <v>48</v>
      </c>
      <c r="F465" s="161">
        <v>164</v>
      </c>
      <c r="G465" s="161" t="s">
        <v>146</v>
      </c>
      <c r="H465" s="161" t="s">
        <v>138</v>
      </c>
      <c r="I465" s="161">
        <v>67</v>
      </c>
      <c r="J465" s="161" t="s">
        <v>105</v>
      </c>
      <c r="K465" s="21" t="s">
        <v>106</v>
      </c>
      <c r="L465" s="161" t="s">
        <v>3380</v>
      </c>
      <c r="M465" s="21" t="s">
        <v>107</v>
      </c>
      <c r="N465" s="161" t="s">
        <v>108</v>
      </c>
      <c r="O465" s="21" t="s">
        <v>139</v>
      </c>
      <c r="P465" s="161" t="s">
        <v>109</v>
      </c>
      <c r="Q465" s="21" t="s">
        <v>70</v>
      </c>
      <c r="R465" s="161">
        <v>80</v>
      </c>
      <c r="S465" s="161" t="s">
        <v>147</v>
      </c>
      <c r="T465" s="161" t="s">
        <v>141</v>
      </c>
      <c r="U465" s="161" t="s">
        <v>142</v>
      </c>
      <c r="V465" s="21" t="s">
        <v>74</v>
      </c>
      <c r="W465" s="21" t="s">
        <v>112</v>
      </c>
      <c r="X465" s="161" t="s">
        <v>148</v>
      </c>
      <c r="Y465" s="161">
        <v>0.01</v>
      </c>
      <c r="Z465" s="161">
        <v>1.8</v>
      </c>
      <c r="AA465" s="161" t="s">
        <v>144</v>
      </c>
      <c r="AB465" s="161" t="s">
        <v>114</v>
      </c>
      <c r="AC465" s="266" t="str">
        <f>HYPERLINK("https://gcsvt.ru/svetodiodnyie-svetilniki/svt-str-mpro-48w/","Ссылка")</f>
        <v>Ссылка</v>
      </c>
      <c r="AD465" s="167">
        <v>4937</v>
      </c>
    </row>
    <row r="466" spans="1:30" s="161" customFormat="1" ht="39.950000000000003" hidden="1" customHeight="1" outlineLevel="2" x14ac:dyDescent="0.25">
      <c r="A466" s="171"/>
      <c r="B466" s="21" t="s">
        <v>135</v>
      </c>
      <c r="C466" s="159" t="s">
        <v>149</v>
      </c>
      <c r="D466" s="161">
        <v>9940</v>
      </c>
      <c r="E466" s="161">
        <v>60</v>
      </c>
      <c r="F466" s="161">
        <v>167</v>
      </c>
      <c r="G466" s="161" t="s">
        <v>150</v>
      </c>
      <c r="H466" s="161" t="s">
        <v>138</v>
      </c>
      <c r="I466" s="161">
        <v>67</v>
      </c>
      <c r="J466" s="161" t="s">
        <v>105</v>
      </c>
      <c r="K466" s="21" t="s">
        <v>106</v>
      </c>
      <c r="L466" s="161" t="s">
        <v>3380</v>
      </c>
      <c r="M466" s="21" t="s">
        <v>107</v>
      </c>
      <c r="N466" s="161" t="s">
        <v>108</v>
      </c>
      <c r="O466" s="21" t="s">
        <v>139</v>
      </c>
      <c r="P466" s="161" t="s">
        <v>109</v>
      </c>
      <c r="Q466" s="21" t="s">
        <v>70</v>
      </c>
      <c r="R466" s="161">
        <v>80</v>
      </c>
      <c r="S466" s="161" t="s">
        <v>151</v>
      </c>
      <c r="T466" s="161" t="s">
        <v>141</v>
      </c>
      <c r="U466" s="161" t="s">
        <v>73</v>
      </c>
      <c r="V466" s="21" t="s">
        <v>74</v>
      </c>
      <c r="W466" s="21" t="s">
        <v>112</v>
      </c>
      <c r="X466" s="161" t="s">
        <v>152</v>
      </c>
      <c r="Y466" s="161">
        <v>0.01</v>
      </c>
      <c r="Z466" s="161">
        <v>2</v>
      </c>
      <c r="AA466" s="161" t="s">
        <v>77</v>
      </c>
      <c r="AB466" s="161" t="s">
        <v>114</v>
      </c>
      <c r="AC466" s="266" t="str">
        <f>HYPERLINK("https://gcsvt.ru/svetodiodnyie-svetilniki/svt-str-mpro-61w/","Ссылка")</f>
        <v>Ссылка</v>
      </c>
      <c r="AD466" s="167">
        <v>5247</v>
      </c>
    </row>
    <row r="467" spans="1:30" s="161" customFormat="1" ht="39.950000000000003" hidden="1" customHeight="1" outlineLevel="2" x14ac:dyDescent="0.25">
      <c r="A467" s="171"/>
      <c r="B467" s="21" t="s">
        <v>135</v>
      </c>
      <c r="C467" s="159" t="s">
        <v>3857</v>
      </c>
      <c r="D467" s="161">
        <v>13120</v>
      </c>
      <c r="E467" s="161">
        <v>80</v>
      </c>
      <c r="F467" s="161">
        <v>164</v>
      </c>
      <c r="G467" s="161" t="s">
        <v>3860</v>
      </c>
      <c r="H467" s="161" t="s">
        <v>138</v>
      </c>
      <c r="I467" s="161">
        <v>67</v>
      </c>
      <c r="J467" s="161" t="s">
        <v>105</v>
      </c>
      <c r="K467" s="21" t="s">
        <v>106</v>
      </c>
      <c r="L467" s="161" t="s">
        <v>3380</v>
      </c>
      <c r="M467" s="21" t="s">
        <v>107</v>
      </c>
      <c r="N467" s="161" t="s">
        <v>67</v>
      </c>
      <c r="O467" s="21" t="s">
        <v>139</v>
      </c>
      <c r="P467" s="161" t="s">
        <v>109</v>
      </c>
      <c r="Q467" s="21" t="s">
        <v>70</v>
      </c>
      <c r="R467" s="161">
        <v>80</v>
      </c>
      <c r="S467" s="161" t="s">
        <v>594</v>
      </c>
      <c r="T467" s="161" t="s">
        <v>141</v>
      </c>
      <c r="U467" s="161" t="s">
        <v>142</v>
      </c>
      <c r="V467" s="21" t="s">
        <v>74</v>
      </c>
      <c r="W467" s="21" t="s">
        <v>112</v>
      </c>
      <c r="X467" s="161" t="s">
        <v>4470</v>
      </c>
      <c r="Y467" s="161">
        <v>0.01</v>
      </c>
      <c r="Z467" s="161">
        <v>2.6</v>
      </c>
      <c r="AA467" s="161" t="s">
        <v>3856</v>
      </c>
      <c r="AB467" s="161" t="s">
        <v>114</v>
      </c>
      <c r="AC467" s="266" t="str">
        <f>HYPERLINK("https://gcsvt.ru/svetodiodnyie-svetilniki/svt-str-mpro-80w/","Ссылка")</f>
        <v>Ссылка</v>
      </c>
      <c r="AD467" s="167">
        <v>7640</v>
      </c>
    </row>
    <row r="468" spans="1:30" s="161" customFormat="1" ht="39.950000000000003" hidden="1" customHeight="1" outlineLevel="2" x14ac:dyDescent="0.25">
      <c r="A468" s="171"/>
      <c r="B468" s="21" t="s">
        <v>135</v>
      </c>
      <c r="C468" s="159" t="s">
        <v>153</v>
      </c>
      <c r="D468" s="161">
        <v>15690</v>
      </c>
      <c r="E468" s="161">
        <v>95</v>
      </c>
      <c r="F468" s="161">
        <v>165</v>
      </c>
      <c r="G468" s="161" t="s">
        <v>154</v>
      </c>
      <c r="H468" s="161" t="s">
        <v>138</v>
      </c>
      <c r="I468" s="161">
        <v>67</v>
      </c>
      <c r="J468" s="161" t="s">
        <v>105</v>
      </c>
      <c r="K468" s="21" t="s">
        <v>106</v>
      </c>
      <c r="L468" s="161" t="s">
        <v>3380</v>
      </c>
      <c r="M468" s="21" t="s">
        <v>107</v>
      </c>
      <c r="N468" s="161" t="s">
        <v>67</v>
      </c>
      <c r="O468" s="21" t="s">
        <v>139</v>
      </c>
      <c r="P468" s="161" t="s">
        <v>109</v>
      </c>
      <c r="Q468" s="21" t="s">
        <v>70</v>
      </c>
      <c r="R468" s="161">
        <v>80</v>
      </c>
      <c r="S468" s="161" t="s">
        <v>155</v>
      </c>
      <c r="T468" s="161" t="s">
        <v>141</v>
      </c>
      <c r="U468" s="161" t="s">
        <v>73</v>
      </c>
      <c r="V468" s="21" t="s">
        <v>74</v>
      </c>
      <c r="W468" s="21" t="s">
        <v>112</v>
      </c>
      <c r="X468" s="161" t="s">
        <v>156</v>
      </c>
      <c r="Y468" s="161">
        <v>0.01</v>
      </c>
      <c r="Z468" s="161">
        <v>2.8</v>
      </c>
      <c r="AA468" s="161" t="s">
        <v>77</v>
      </c>
      <c r="AB468" s="161" t="s">
        <v>114</v>
      </c>
      <c r="AC468" s="266" t="str">
        <f>HYPERLINK("https://gcsvt.ru/svetodiodnyie-svetilniki/svt-str-mpro-96w/","Ссылка")</f>
        <v>Ссылка</v>
      </c>
      <c r="AD468" s="167">
        <v>8116</v>
      </c>
    </row>
    <row r="469" spans="1:30" s="161" customFormat="1" ht="39.950000000000003" hidden="1" customHeight="1" outlineLevel="2" x14ac:dyDescent="0.25">
      <c r="A469" s="171"/>
      <c r="B469" s="21" t="s">
        <v>135</v>
      </c>
      <c r="C469" s="159" t="s">
        <v>158</v>
      </c>
      <c r="D469" s="161">
        <v>4990</v>
      </c>
      <c r="E469" s="161">
        <v>31</v>
      </c>
      <c r="F469" s="161">
        <v>160</v>
      </c>
      <c r="G469" s="161" t="s">
        <v>159</v>
      </c>
      <c r="H469" s="161" t="s">
        <v>138</v>
      </c>
      <c r="I469" s="161">
        <v>67</v>
      </c>
      <c r="J469" s="161" t="s">
        <v>105</v>
      </c>
      <c r="K469" s="21" t="s">
        <v>106</v>
      </c>
      <c r="L469" s="161" t="s">
        <v>3380</v>
      </c>
      <c r="M469" s="21" t="s">
        <v>107</v>
      </c>
      <c r="N469" s="161" t="s">
        <v>108</v>
      </c>
      <c r="O469" s="21" t="s">
        <v>139</v>
      </c>
      <c r="P469" s="161" t="s">
        <v>109</v>
      </c>
      <c r="Q469" s="21" t="s">
        <v>70</v>
      </c>
      <c r="R469" s="161">
        <v>80</v>
      </c>
      <c r="S469" s="161" t="s">
        <v>140</v>
      </c>
      <c r="T469" s="161" t="s">
        <v>141</v>
      </c>
      <c r="U469" s="161" t="s">
        <v>142</v>
      </c>
      <c r="V469" s="21" t="s">
        <v>74</v>
      </c>
      <c r="W469" s="21" t="s">
        <v>160</v>
      </c>
      <c r="X469" s="161" t="s">
        <v>161</v>
      </c>
      <c r="Y469" s="161">
        <v>0.01</v>
      </c>
      <c r="Z469" s="161">
        <v>1.7</v>
      </c>
      <c r="AA469" s="161" t="s">
        <v>144</v>
      </c>
      <c r="AB469" s="161" t="s">
        <v>114</v>
      </c>
      <c r="AC469" s="266" t="str">
        <f>HYPERLINK("https://gcsvt.ru/svetodiodnyie-svetilniki/svt-str-mpro-32w-c/","Ссылка")</f>
        <v>Ссылка</v>
      </c>
      <c r="AD469" s="167">
        <v>4694</v>
      </c>
    </row>
    <row r="470" spans="1:30" s="161" customFormat="1" ht="39.950000000000003" hidden="1" customHeight="1" outlineLevel="2" x14ac:dyDescent="0.25">
      <c r="A470" s="171"/>
      <c r="B470" s="21" t="s">
        <v>135</v>
      </c>
      <c r="C470" s="159" t="s">
        <v>162</v>
      </c>
      <c r="D470" s="161">
        <v>7790</v>
      </c>
      <c r="E470" s="161">
        <v>48</v>
      </c>
      <c r="F470" s="161">
        <v>164</v>
      </c>
      <c r="G470" s="161" t="s">
        <v>163</v>
      </c>
      <c r="H470" s="161" t="s">
        <v>138</v>
      </c>
      <c r="I470" s="161">
        <v>67</v>
      </c>
      <c r="J470" s="161" t="s">
        <v>105</v>
      </c>
      <c r="K470" s="21" t="s">
        <v>106</v>
      </c>
      <c r="L470" s="161" t="s">
        <v>3380</v>
      </c>
      <c r="M470" s="21" t="s">
        <v>107</v>
      </c>
      <c r="N470" s="161" t="s">
        <v>108</v>
      </c>
      <c r="O470" s="21" t="s">
        <v>139</v>
      </c>
      <c r="P470" s="161" t="s">
        <v>109</v>
      </c>
      <c r="Q470" s="21" t="s">
        <v>70</v>
      </c>
      <c r="R470" s="161">
        <v>80</v>
      </c>
      <c r="S470" s="161" t="s">
        <v>147</v>
      </c>
      <c r="T470" s="161" t="s">
        <v>141</v>
      </c>
      <c r="U470" s="161" t="s">
        <v>142</v>
      </c>
      <c r="V470" s="21" t="s">
        <v>74</v>
      </c>
      <c r="W470" s="21" t="s">
        <v>160</v>
      </c>
      <c r="X470" s="161" t="s">
        <v>164</v>
      </c>
      <c r="Y470" s="161">
        <v>0.01</v>
      </c>
      <c r="Z470" s="161">
        <v>1.8</v>
      </c>
      <c r="AA470" s="161" t="s">
        <v>144</v>
      </c>
      <c r="AB470" s="161" t="s">
        <v>114</v>
      </c>
      <c r="AC470" s="266" t="str">
        <f>HYPERLINK("https://gcsvt.ru/svetodiodnyie-svetilniki/svt-str-mpro-48w-c/","Ссылка")</f>
        <v>Ссылка</v>
      </c>
      <c r="AD470" s="167">
        <v>4937</v>
      </c>
    </row>
    <row r="471" spans="1:30" s="161" customFormat="1" ht="39.950000000000003" hidden="1" customHeight="1" outlineLevel="2" x14ac:dyDescent="0.25">
      <c r="A471" s="171"/>
      <c r="B471" s="21" t="s">
        <v>135</v>
      </c>
      <c r="C471" s="159" t="s">
        <v>165</v>
      </c>
      <c r="D471" s="161">
        <v>9940</v>
      </c>
      <c r="E471" s="161">
        <v>60</v>
      </c>
      <c r="F471" s="161">
        <v>167</v>
      </c>
      <c r="G471" s="161" t="s">
        <v>166</v>
      </c>
      <c r="H471" s="161" t="s">
        <v>138</v>
      </c>
      <c r="I471" s="161">
        <v>67</v>
      </c>
      <c r="J471" s="161" t="s">
        <v>105</v>
      </c>
      <c r="K471" s="21" t="s">
        <v>106</v>
      </c>
      <c r="L471" s="161" t="s">
        <v>3380</v>
      </c>
      <c r="M471" s="21" t="s">
        <v>107</v>
      </c>
      <c r="N471" s="161" t="s">
        <v>108</v>
      </c>
      <c r="O471" s="21" t="s">
        <v>139</v>
      </c>
      <c r="P471" s="161" t="s">
        <v>109</v>
      </c>
      <c r="Q471" s="21" t="s">
        <v>70</v>
      </c>
      <c r="R471" s="161">
        <v>80</v>
      </c>
      <c r="S471" s="161" t="s">
        <v>151</v>
      </c>
      <c r="T471" s="161" t="s">
        <v>141</v>
      </c>
      <c r="U471" s="161" t="s">
        <v>73</v>
      </c>
      <c r="V471" s="21" t="s">
        <v>74</v>
      </c>
      <c r="W471" s="21" t="s">
        <v>160</v>
      </c>
      <c r="X471" s="161" t="s">
        <v>167</v>
      </c>
      <c r="Y471" s="161">
        <v>0.01</v>
      </c>
      <c r="Z471" s="161">
        <v>2</v>
      </c>
      <c r="AA471" s="161" t="s">
        <v>77</v>
      </c>
      <c r="AB471" s="161" t="s">
        <v>114</v>
      </c>
      <c r="AC471" s="266" t="str">
        <f>HYPERLINK("https://gcsvt.ru/svetodiodnyie-svetilniki/svt-str-mpro-61w-c/","Ссылка")</f>
        <v>Ссылка</v>
      </c>
      <c r="AD471" s="167">
        <v>5247</v>
      </c>
    </row>
    <row r="472" spans="1:30" s="161" customFormat="1" ht="39.950000000000003" hidden="1" customHeight="1" outlineLevel="2" x14ac:dyDescent="0.25">
      <c r="A472" s="171"/>
      <c r="B472" s="21" t="s">
        <v>135</v>
      </c>
      <c r="C472" s="159" t="s">
        <v>3855</v>
      </c>
      <c r="D472" s="161">
        <v>13120</v>
      </c>
      <c r="E472" s="161">
        <v>80</v>
      </c>
      <c r="F472" s="161">
        <v>164</v>
      </c>
      <c r="G472" s="161" t="s">
        <v>3861</v>
      </c>
      <c r="H472" s="161" t="s">
        <v>138</v>
      </c>
      <c r="I472" s="161">
        <v>67</v>
      </c>
      <c r="J472" s="161" t="s">
        <v>105</v>
      </c>
      <c r="K472" s="21" t="s">
        <v>106</v>
      </c>
      <c r="L472" s="161" t="s">
        <v>3380</v>
      </c>
      <c r="M472" s="21" t="s">
        <v>157</v>
      </c>
      <c r="N472" s="161" t="s">
        <v>67</v>
      </c>
      <c r="O472" s="21" t="s">
        <v>139</v>
      </c>
      <c r="P472" s="161" t="s">
        <v>109</v>
      </c>
      <c r="Q472" s="21" t="s">
        <v>70</v>
      </c>
      <c r="R472" s="161">
        <v>80</v>
      </c>
      <c r="S472" s="161" t="s">
        <v>594</v>
      </c>
      <c r="T472" s="161" t="s">
        <v>141</v>
      </c>
      <c r="U472" s="161" t="s">
        <v>142</v>
      </c>
      <c r="V472" s="21" t="s">
        <v>74</v>
      </c>
      <c r="W472" s="21" t="s">
        <v>160</v>
      </c>
      <c r="X472" s="161" t="s">
        <v>4469</v>
      </c>
      <c r="Y472" s="161">
        <v>0.01</v>
      </c>
      <c r="Z472" s="161">
        <v>2.6</v>
      </c>
      <c r="AA472" s="161" t="s">
        <v>3856</v>
      </c>
      <c r="AB472" s="161" t="s">
        <v>114</v>
      </c>
      <c r="AC472" s="266" t="str">
        <f>HYPERLINK("https://gcsvt.ru/svetodiodnyie-svetilniki/svt-str-mpro-80w-c/","Ссылка")</f>
        <v>Ссылка</v>
      </c>
      <c r="AD472" s="167">
        <v>7640</v>
      </c>
    </row>
    <row r="473" spans="1:30" s="161" customFormat="1" ht="39.950000000000003" hidden="1" customHeight="1" outlineLevel="2" x14ac:dyDescent="0.25">
      <c r="A473" s="171"/>
      <c r="B473" s="21" t="s">
        <v>135</v>
      </c>
      <c r="C473" s="159" t="s">
        <v>168</v>
      </c>
      <c r="D473" s="161">
        <v>15690</v>
      </c>
      <c r="E473" s="161">
        <v>95</v>
      </c>
      <c r="F473" s="161">
        <v>165</v>
      </c>
      <c r="G473" s="161" t="s">
        <v>169</v>
      </c>
      <c r="H473" s="161" t="s">
        <v>138</v>
      </c>
      <c r="I473" s="161">
        <v>67</v>
      </c>
      <c r="J473" s="161" t="s">
        <v>105</v>
      </c>
      <c r="K473" s="21" t="s">
        <v>106</v>
      </c>
      <c r="L473" s="161" t="s">
        <v>3380</v>
      </c>
      <c r="M473" s="21" t="s">
        <v>157</v>
      </c>
      <c r="N473" s="161" t="s">
        <v>67</v>
      </c>
      <c r="O473" s="21" t="s">
        <v>139</v>
      </c>
      <c r="P473" s="161" t="s">
        <v>109</v>
      </c>
      <c r="Q473" s="21" t="s">
        <v>70</v>
      </c>
      <c r="R473" s="161">
        <v>80</v>
      </c>
      <c r="S473" s="161" t="s">
        <v>155</v>
      </c>
      <c r="T473" s="161" t="s">
        <v>141</v>
      </c>
      <c r="U473" s="161" t="s">
        <v>73</v>
      </c>
      <c r="V473" s="21" t="s">
        <v>74</v>
      </c>
      <c r="W473" s="21" t="s">
        <v>160</v>
      </c>
      <c r="X473" s="161" t="s">
        <v>170</v>
      </c>
      <c r="Y473" s="161">
        <v>0.01</v>
      </c>
      <c r="Z473" s="161">
        <v>2.8</v>
      </c>
      <c r="AA473" s="161" t="s">
        <v>77</v>
      </c>
      <c r="AB473" s="161" t="s">
        <v>114</v>
      </c>
      <c r="AC473" s="266" t="str">
        <f>HYPERLINK("https://gcsvt.ru/svetodiodnyie-svetilniki/svt-str-mpro-96w-c/","Ссылка")</f>
        <v>Ссылка</v>
      </c>
      <c r="AD473" s="167">
        <v>8116</v>
      </c>
    </row>
    <row r="474" spans="1:30" s="161" customFormat="1" ht="39.950000000000003" hidden="1" customHeight="1" outlineLevel="2" x14ac:dyDescent="0.25">
      <c r="A474" s="171"/>
      <c r="B474" s="21" t="s">
        <v>135</v>
      </c>
      <c r="C474" s="159" t="s">
        <v>3905</v>
      </c>
      <c r="D474" s="168">
        <v>19680</v>
      </c>
      <c r="E474" s="161">
        <v>120</v>
      </c>
      <c r="F474" s="161">
        <v>164</v>
      </c>
      <c r="G474" s="161" t="s">
        <v>3913</v>
      </c>
      <c r="H474" s="161" t="s">
        <v>138</v>
      </c>
      <c r="I474" s="161">
        <v>67</v>
      </c>
      <c r="J474" s="161" t="s">
        <v>105</v>
      </c>
      <c r="K474" s="21" t="s">
        <v>106</v>
      </c>
      <c r="L474" s="161" t="s">
        <v>3380</v>
      </c>
      <c r="M474" s="21" t="s">
        <v>157</v>
      </c>
      <c r="N474" s="161" t="s">
        <v>67</v>
      </c>
      <c r="O474" s="21" t="s">
        <v>139</v>
      </c>
      <c r="P474" s="161" t="s">
        <v>109</v>
      </c>
      <c r="Q474" s="21" t="s">
        <v>70</v>
      </c>
      <c r="R474" s="161">
        <v>80</v>
      </c>
      <c r="S474" s="161" t="s">
        <v>1312</v>
      </c>
      <c r="T474" s="161" t="s">
        <v>141</v>
      </c>
      <c r="U474" s="161" t="s">
        <v>142</v>
      </c>
      <c r="V474" s="21" t="s">
        <v>74</v>
      </c>
      <c r="W474" s="21" t="s">
        <v>112</v>
      </c>
      <c r="X474" s="161" t="s">
        <v>3924</v>
      </c>
      <c r="Y474" s="161">
        <v>1.2E-2</v>
      </c>
      <c r="Z474" s="161">
        <v>3.2</v>
      </c>
      <c r="AA474" s="161" t="s">
        <v>3856</v>
      </c>
      <c r="AB474" s="161" t="s">
        <v>114</v>
      </c>
      <c r="AC474" s="266" t="str">
        <f>HYPERLINK("https://gcsvt.ru/svetodiodnyie-svetilniki/svt-str-mpro-120w/","Ссылка")</f>
        <v>Ссылка</v>
      </c>
      <c r="AD474" s="167">
        <v>9650</v>
      </c>
    </row>
    <row r="475" spans="1:30" s="161" customFormat="1" ht="39.950000000000003" hidden="1" customHeight="1" outlineLevel="2" x14ac:dyDescent="0.25">
      <c r="A475" s="171"/>
      <c r="B475" s="21" t="s">
        <v>135</v>
      </c>
      <c r="C475" s="159" t="s">
        <v>3906</v>
      </c>
      <c r="D475" s="168">
        <v>19680</v>
      </c>
      <c r="E475" s="161">
        <v>120</v>
      </c>
      <c r="F475" s="161">
        <v>164</v>
      </c>
      <c r="G475" s="161" t="s">
        <v>3914</v>
      </c>
      <c r="H475" s="161" t="s">
        <v>138</v>
      </c>
      <c r="I475" s="161">
        <v>67</v>
      </c>
      <c r="J475" s="161" t="s">
        <v>105</v>
      </c>
      <c r="K475" s="21" t="s">
        <v>106</v>
      </c>
      <c r="L475" s="161" t="s">
        <v>3380</v>
      </c>
      <c r="M475" s="21" t="s">
        <v>157</v>
      </c>
      <c r="N475" s="161" t="s">
        <v>67</v>
      </c>
      <c r="O475" s="21" t="s">
        <v>139</v>
      </c>
      <c r="P475" s="161" t="s">
        <v>109</v>
      </c>
      <c r="Q475" s="21" t="s">
        <v>70</v>
      </c>
      <c r="R475" s="161">
        <v>80</v>
      </c>
      <c r="S475" s="161" t="s">
        <v>1312</v>
      </c>
      <c r="T475" s="161" t="s">
        <v>141</v>
      </c>
      <c r="U475" s="161" t="s">
        <v>142</v>
      </c>
      <c r="V475" s="21" t="s">
        <v>74</v>
      </c>
      <c r="W475" s="21" t="s">
        <v>160</v>
      </c>
      <c r="X475" s="161" t="s">
        <v>3925</v>
      </c>
      <c r="Y475" s="161">
        <v>1.2E-2</v>
      </c>
      <c r="Z475" s="161">
        <v>3.2</v>
      </c>
      <c r="AA475" s="161" t="s">
        <v>3856</v>
      </c>
      <c r="AB475" s="161" t="s">
        <v>114</v>
      </c>
      <c r="AC475" s="266" t="str">
        <f>HYPERLINK("https://gcsvt.ru/svetodiodnyie-svetilniki/svt-str-mpro-120w-c/","Ссылка")</f>
        <v>Ссылка</v>
      </c>
      <c r="AD475" s="167">
        <v>9650</v>
      </c>
    </row>
    <row r="476" spans="1:30" s="161" customFormat="1" ht="39.950000000000003" hidden="1" customHeight="1" outlineLevel="2" x14ac:dyDescent="0.25">
      <c r="A476" s="171"/>
      <c r="B476" s="21" t="s">
        <v>135</v>
      </c>
      <c r="C476" s="159" t="s">
        <v>171</v>
      </c>
      <c r="D476" s="161">
        <v>4347</v>
      </c>
      <c r="E476" s="161">
        <v>27</v>
      </c>
      <c r="F476" s="161">
        <v>161</v>
      </c>
      <c r="G476" s="161" t="s">
        <v>172</v>
      </c>
      <c r="H476" s="161" t="s">
        <v>63</v>
      </c>
      <c r="I476" s="161">
        <v>67</v>
      </c>
      <c r="J476" s="161" t="s">
        <v>105</v>
      </c>
      <c r="K476" s="21" t="s">
        <v>106</v>
      </c>
      <c r="L476" s="161" t="s">
        <v>3380</v>
      </c>
      <c r="M476" s="21" t="s">
        <v>107</v>
      </c>
      <c r="N476" s="161" t="s">
        <v>108</v>
      </c>
      <c r="O476" s="21" t="s">
        <v>68</v>
      </c>
      <c r="P476" s="161" t="s">
        <v>109</v>
      </c>
      <c r="Q476" s="21" t="s">
        <v>70</v>
      </c>
      <c r="R476" s="161">
        <v>70</v>
      </c>
      <c r="S476" s="161" t="s">
        <v>3219</v>
      </c>
      <c r="T476" s="161" t="s">
        <v>174</v>
      </c>
      <c r="U476" s="161" t="s">
        <v>142</v>
      </c>
      <c r="V476" s="21" t="s">
        <v>74</v>
      </c>
      <c r="W476" s="21" t="s">
        <v>160</v>
      </c>
      <c r="X476" s="161" t="s">
        <v>161</v>
      </c>
      <c r="Y476" s="161">
        <v>0.01</v>
      </c>
      <c r="Z476" s="161">
        <v>1.5</v>
      </c>
      <c r="AA476" s="161" t="s">
        <v>144</v>
      </c>
      <c r="AB476" s="161" t="s">
        <v>114</v>
      </c>
      <c r="AC476" s="266" t="str">
        <f>HYPERLINK("https://gcsvt.ru/svetodiodnyie-svetilniki/svt-str-mpro-27w-45x140-c/","Ссылка")</f>
        <v>Ссылка</v>
      </c>
      <c r="AD476" s="167">
        <v>6059</v>
      </c>
    </row>
    <row r="477" spans="1:30" s="161" customFormat="1" ht="39.950000000000003" hidden="1" customHeight="1" outlineLevel="2" x14ac:dyDescent="0.25">
      <c r="A477" s="171"/>
      <c r="B477" s="21" t="s">
        <v>135</v>
      </c>
      <c r="C477" s="159" t="s">
        <v>175</v>
      </c>
      <c r="D477" s="161">
        <v>4347</v>
      </c>
      <c r="E477" s="161">
        <v>27</v>
      </c>
      <c r="F477" s="161">
        <v>161</v>
      </c>
      <c r="G477" s="161" t="s">
        <v>176</v>
      </c>
      <c r="H477" s="161" t="s">
        <v>177</v>
      </c>
      <c r="I477" s="161">
        <v>67</v>
      </c>
      <c r="J477" s="161" t="s">
        <v>105</v>
      </c>
      <c r="K477" s="21" t="s">
        <v>106</v>
      </c>
      <c r="L477" s="161" t="s">
        <v>3380</v>
      </c>
      <c r="M477" s="21" t="s">
        <v>107</v>
      </c>
      <c r="N477" s="161" t="s">
        <v>108</v>
      </c>
      <c r="O477" s="21" t="s">
        <v>68</v>
      </c>
      <c r="P477" s="161" t="s">
        <v>109</v>
      </c>
      <c r="Q477" s="21" t="s">
        <v>70</v>
      </c>
      <c r="R477" s="161">
        <v>70</v>
      </c>
      <c r="S477" s="161" t="s">
        <v>3219</v>
      </c>
      <c r="T477" s="161" t="s">
        <v>174</v>
      </c>
      <c r="U477" s="161" t="s">
        <v>142</v>
      </c>
      <c r="V477" s="21" t="s">
        <v>74</v>
      </c>
      <c r="W477" s="21" t="s">
        <v>112</v>
      </c>
      <c r="X477" s="161" t="s">
        <v>143</v>
      </c>
      <c r="Y477" s="161">
        <v>0.01</v>
      </c>
      <c r="Z477" s="161">
        <v>1.5</v>
      </c>
      <c r="AA477" s="161" t="s">
        <v>144</v>
      </c>
      <c r="AB477" s="161" t="s">
        <v>114</v>
      </c>
      <c r="AC477" s="266" t="str">
        <f>HYPERLINK("https://gcsvt.ru/svetodiodnyie-svetilniki/svt-str-mpro-27w-20/","Ссылка")</f>
        <v>Ссылка</v>
      </c>
      <c r="AD477" s="167">
        <v>6059</v>
      </c>
    </row>
    <row r="478" spans="1:30" s="161" customFormat="1" ht="39.950000000000003" hidden="1" customHeight="1" outlineLevel="2" x14ac:dyDescent="0.25">
      <c r="A478" s="171"/>
      <c r="B478" s="21" t="s">
        <v>135</v>
      </c>
      <c r="C478" s="159" t="s">
        <v>178</v>
      </c>
      <c r="D478" s="161">
        <v>4347</v>
      </c>
      <c r="E478" s="161">
        <v>27</v>
      </c>
      <c r="F478" s="161">
        <v>161</v>
      </c>
      <c r="G478" s="161" t="s">
        <v>179</v>
      </c>
      <c r="H478" s="161" t="s">
        <v>180</v>
      </c>
      <c r="I478" s="161">
        <v>67</v>
      </c>
      <c r="J478" s="161" t="s">
        <v>105</v>
      </c>
      <c r="K478" s="21" t="s">
        <v>106</v>
      </c>
      <c r="L478" s="161" t="s">
        <v>3380</v>
      </c>
      <c r="M478" s="21" t="s">
        <v>107</v>
      </c>
      <c r="N478" s="161" t="s">
        <v>108</v>
      </c>
      <c r="O478" s="21" t="s">
        <v>68</v>
      </c>
      <c r="P478" s="161" t="s">
        <v>109</v>
      </c>
      <c r="Q478" s="21" t="s">
        <v>70</v>
      </c>
      <c r="R478" s="161">
        <v>70</v>
      </c>
      <c r="S478" s="161" t="s">
        <v>3219</v>
      </c>
      <c r="T478" s="161" t="s">
        <v>174</v>
      </c>
      <c r="U478" s="161" t="s">
        <v>142</v>
      </c>
      <c r="V478" s="21" t="s">
        <v>74</v>
      </c>
      <c r="W478" s="21" t="s">
        <v>112</v>
      </c>
      <c r="X478" s="161" t="s">
        <v>143</v>
      </c>
      <c r="Y478" s="161">
        <v>0.01</v>
      </c>
      <c r="Z478" s="161">
        <v>1.5</v>
      </c>
      <c r="AA478" s="161" t="s">
        <v>144</v>
      </c>
      <c r="AB478" s="161" t="s">
        <v>114</v>
      </c>
      <c r="AC478" s="266" t="str">
        <f>HYPERLINK("https://gcsvt.ru/svetodiodnyie-svetilniki/svt-str-mpro-27w-35/","Ссылка")</f>
        <v>Ссылка</v>
      </c>
      <c r="AD478" s="167">
        <v>6059</v>
      </c>
    </row>
    <row r="479" spans="1:30" s="161" customFormat="1" ht="39.950000000000003" hidden="1" customHeight="1" outlineLevel="2" x14ac:dyDescent="0.25">
      <c r="A479" s="171"/>
      <c r="B479" s="21" t="s">
        <v>135</v>
      </c>
      <c r="C479" s="159" t="s">
        <v>181</v>
      </c>
      <c r="D479" s="161">
        <v>4347</v>
      </c>
      <c r="E479" s="161">
        <v>27</v>
      </c>
      <c r="F479" s="161">
        <v>161</v>
      </c>
      <c r="G479" s="161" t="s">
        <v>182</v>
      </c>
      <c r="H479" s="161" t="s">
        <v>183</v>
      </c>
      <c r="I479" s="161">
        <v>67</v>
      </c>
      <c r="J479" s="161" t="s">
        <v>105</v>
      </c>
      <c r="K479" s="21" t="s">
        <v>106</v>
      </c>
      <c r="L479" s="161" t="s">
        <v>3380</v>
      </c>
      <c r="M479" s="21" t="s">
        <v>107</v>
      </c>
      <c r="N479" s="161" t="s">
        <v>108</v>
      </c>
      <c r="O479" s="21" t="s">
        <v>68</v>
      </c>
      <c r="P479" s="161" t="s">
        <v>109</v>
      </c>
      <c r="Q479" s="21" t="s">
        <v>70</v>
      </c>
      <c r="R479" s="161">
        <v>70</v>
      </c>
      <c r="S479" s="161" t="s">
        <v>3219</v>
      </c>
      <c r="T479" s="161" t="s">
        <v>174</v>
      </c>
      <c r="U479" s="161" t="s">
        <v>142</v>
      </c>
      <c r="V479" s="21" t="s">
        <v>74</v>
      </c>
      <c r="W479" s="21" t="s">
        <v>112</v>
      </c>
      <c r="X479" s="161" t="s">
        <v>143</v>
      </c>
      <c r="Y479" s="161">
        <v>0.01</v>
      </c>
      <c r="Z479" s="161">
        <v>1.5</v>
      </c>
      <c r="AA479" s="161" t="s">
        <v>144</v>
      </c>
      <c r="AB479" s="161" t="s">
        <v>114</v>
      </c>
      <c r="AC479" s="266" t="str">
        <f>HYPERLINK("https://gcsvt.ru/svetodiodnyie-svetilniki/svt-str-mpro-27w-65/","Ссылка")</f>
        <v>Ссылка</v>
      </c>
      <c r="AD479" s="167">
        <v>6059</v>
      </c>
    </row>
    <row r="480" spans="1:30" s="161" customFormat="1" ht="39.950000000000003" hidden="1" customHeight="1" outlineLevel="2" x14ac:dyDescent="0.25">
      <c r="A480" s="171"/>
      <c r="B480" s="21" t="s">
        <v>135</v>
      </c>
      <c r="C480" s="159" t="s">
        <v>184</v>
      </c>
      <c r="D480" s="161">
        <v>4347</v>
      </c>
      <c r="E480" s="161">
        <v>27</v>
      </c>
      <c r="F480" s="161">
        <v>161</v>
      </c>
      <c r="G480" s="161" t="s">
        <v>185</v>
      </c>
      <c r="H480" s="161" t="s">
        <v>186</v>
      </c>
      <c r="I480" s="161">
        <v>67</v>
      </c>
      <c r="J480" s="161" t="s">
        <v>105</v>
      </c>
      <c r="K480" s="21" t="s">
        <v>106</v>
      </c>
      <c r="L480" s="161" t="s">
        <v>3380</v>
      </c>
      <c r="M480" s="21" t="s">
        <v>107</v>
      </c>
      <c r="N480" s="161" t="s">
        <v>108</v>
      </c>
      <c r="O480" s="21" t="s">
        <v>68</v>
      </c>
      <c r="P480" s="161" t="s">
        <v>109</v>
      </c>
      <c r="Q480" s="21" t="s">
        <v>70</v>
      </c>
      <c r="R480" s="161">
        <v>70</v>
      </c>
      <c r="S480" s="161" t="s">
        <v>3219</v>
      </c>
      <c r="T480" s="161" t="s">
        <v>174</v>
      </c>
      <c r="U480" s="161" t="s">
        <v>142</v>
      </c>
      <c r="V480" s="21" t="s">
        <v>74</v>
      </c>
      <c r="W480" s="21" t="s">
        <v>112</v>
      </c>
      <c r="X480" s="161" t="s">
        <v>143</v>
      </c>
      <c r="Y480" s="161">
        <v>0.01</v>
      </c>
      <c r="Z480" s="161">
        <v>1.5</v>
      </c>
      <c r="AA480" s="161" t="s">
        <v>144</v>
      </c>
      <c r="AB480" s="161" t="s">
        <v>114</v>
      </c>
      <c r="AC480" s="266" t="str">
        <f>HYPERLINK("https://gcsvt.ru/svetodiodnyie-svetilniki/svt-str-mpro-27w-100/","Ссылка")</f>
        <v>Ссылка</v>
      </c>
      <c r="AD480" s="167">
        <v>6059</v>
      </c>
    </row>
    <row r="481" spans="1:30" s="161" customFormat="1" ht="39.950000000000003" hidden="1" customHeight="1" outlineLevel="2" x14ac:dyDescent="0.25">
      <c r="A481" s="171"/>
      <c r="B481" s="21" t="s">
        <v>135</v>
      </c>
      <c r="C481" s="159" t="s">
        <v>187</v>
      </c>
      <c r="D481" s="161">
        <v>4347</v>
      </c>
      <c r="E481" s="161">
        <v>27</v>
      </c>
      <c r="F481" s="161">
        <v>161</v>
      </c>
      <c r="G481" s="161" t="s">
        <v>188</v>
      </c>
      <c r="H481" s="161" t="s">
        <v>189</v>
      </c>
      <c r="I481" s="161">
        <v>67</v>
      </c>
      <c r="J481" s="161" t="s">
        <v>105</v>
      </c>
      <c r="K481" s="21" t="s">
        <v>106</v>
      </c>
      <c r="L481" s="161" t="s">
        <v>3380</v>
      </c>
      <c r="M481" s="21" t="s">
        <v>107</v>
      </c>
      <c r="N481" s="161" t="s">
        <v>108</v>
      </c>
      <c r="O481" s="21" t="s">
        <v>68</v>
      </c>
      <c r="P481" s="161" t="s">
        <v>109</v>
      </c>
      <c r="Q481" s="21" t="s">
        <v>70</v>
      </c>
      <c r="R481" s="161">
        <v>70</v>
      </c>
      <c r="S481" s="161" t="s">
        <v>3219</v>
      </c>
      <c r="T481" s="161" t="s">
        <v>174</v>
      </c>
      <c r="U481" s="161" t="s">
        <v>142</v>
      </c>
      <c r="V481" s="21" t="s">
        <v>74</v>
      </c>
      <c r="W481" s="21" t="s">
        <v>112</v>
      </c>
      <c r="X481" s="161" t="s">
        <v>143</v>
      </c>
      <c r="Y481" s="161">
        <v>0.01</v>
      </c>
      <c r="Z481" s="161">
        <v>1.5</v>
      </c>
      <c r="AA481" s="161" t="s">
        <v>144</v>
      </c>
      <c r="AB481" s="161" t="s">
        <v>114</v>
      </c>
      <c r="AC481" s="266" t="str">
        <f>HYPERLINK("https://gcsvt.ru/svetodiodnyie-svetilniki/svt-str-mpro-27w-30x120/","Ссылка")</f>
        <v>Ссылка</v>
      </c>
      <c r="AD481" s="167">
        <v>6059</v>
      </c>
    </row>
    <row r="482" spans="1:30" s="161" customFormat="1" ht="39.950000000000003" hidden="1" customHeight="1" outlineLevel="2" x14ac:dyDescent="0.25">
      <c r="A482" s="171"/>
      <c r="B482" s="21" t="s">
        <v>135</v>
      </c>
      <c r="C482" s="159" t="s">
        <v>190</v>
      </c>
      <c r="D482" s="161">
        <v>4347</v>
      </c>
      <c r="E482" s="161">
        <v>27</v>
      </c>
      <c r="F482" s="161">
        <v>161</v>
      </c>
      <c r="G482" s="161" t="s">
        <v>191</v>
      </c>
      <c r="H482" s="161" t="s">
        <v>192</v>
      </c>
      <c r="I482" s="161">
        <v>67</v>
      </c>
      <c r="J482" s="161" t="s">
        <v>105</v>
      </c>
      <c r="K482" s="21" t="s">
        <v>106</v>
      </c>
      <c r="L482" s="161" t="s">
        <v>3380</v>
      </c>
      <c r="M482" s="21" t="s">
        <v>107</v>
      </c>
      <c r="N482" s="161" t="s">
        <v>108</v>
      </c>
      <c r="O482" s="21" t="s">
        <v>68</v>
      </c>
      <c r="P482" s="161" t="s">
        <v>109</v>
      </c>
      <c r="Q482" s="21" t="s">
        <v>70</v>
      </c>
      <c r="R482" s="161">
        <v>70</v>
      </c>
      <c r="S482" s="161" t="s">
        <v>3219</v>
      </c>
      <c r="T482" s="161" t="s">
        <v>174</v>
      </c>
      <c r="U482" s="161" t="s">
        <v>142</v>
      </c>
      <c r="V482" s="21" t="s">
        <v>74</v>
      </c>
      <c r="W482" s="21" t="s">
        <v>112</v>
      </c>
      <c r="X482" s="161" t="s">
        <v>143</v>
      </c>
      <c r="Y482" s="161">
        <v>0.01</v>
      </c>
      <c r="Z482" s="161">
        <v>1.5</v>
      </c>
      <c r="AA482" s="161" t="s">
        <v>144</v>
      </c>
      <c r="AB482" s="161" t="s">
        <v>114</v>
      </c>
      <c r="AC482" s="266" t="str">
        <f>HYPERLINK("https://gcsvt.ru/svetodiodnyie-svetilniki/svt-str-mpro-27w-vsm/","Ссылка")</f>
        <v>Ссылка</v>
      </c>
      <c r="AD482" s="167">
        <v>6059</v>
      </c>
    </row>
    <row r="483" spans="1:30" s="161" customFormat="1" ht="39.950000000000003" hidden="1" customHeight="1" outlineLevel="2" x14ac:dyDescent="0.25">
      <c r="A483" s="171"/>
      <c r="B483" s="21" t="s">
        <v>135</v>
      </c>
      <c r="C483" s="159" t="s">
        <v>193</v>
      </c>
      <c r="D483" s="161">
        <v>4347</v>
      </c>
      <c r="E483" s="161">
        <v>27</v>
      </c>
      <c r="F483" s="161">
        <v>161</v>
      </c>
      <c r="G483" s="161" t="s">
        <v>194</v>
      </c>
      <c r="H483" s="161" t="s">
        <v>63</v>
      </c>
      <c r="I483" s="161">
        <v>67</v>
      </c>
      <c r="J483" s="161" t="s">
        <v>105</v>
      </c>
      <c r="K483" s="21" t="s">
        <v>106</v>
      </c>
      <c r="L483" s="161" t="s">
        <v>3380</v>
      </c>
      <c r="M483" s="21" t="s">
        <v>107</v>
      </c>
      <c r="N483" s="161" t="s">
        <v>108</v>
      </c>
      <c r="O483" s="21" t="s">
        <v>68</v>
      </c>
      <c r="P483" s="161" t="s">
        <v>109</v>
      </c>
      <c r="Q483" s="21" t="s">
        <v>70</v>
      </c>
      <c r="R483" s="161">
        <v>70</v>
      </c>
      <c r="S483" s="161" t="s">
        <v>3219</v>
      </c>
      <c r="T483" s="161" t="s">
        <v>174</v>
      </c>
      <c r="U483" s="161" t="s">
        <v>142</v>
      </c>
      <c r="V483" s="21" t="s">
        <v>74</v>
      </c>
      <c r="W483" s="21" t="s">
        <v>112</v>
      </c>
      <c r="X483" s="161" t="s">
        <v>143</v>
      </c>
      <c r="Y483" s="161">
        <v>0.01</v>
      </c>
      <c r="Z483" s="161">
        <v>1.5</v>
      </c>
      <c r="AA483" s="161" t="s">
        <v>144</v>
      </c>
      <c r="AB483" s="161" t="s">
        <v>114</v>
      </c>
      <c r="AC483" s="266" t="str">
        <f>HYPERLINK("https://gcsvt.ru/svetodiodnyie-svetilniki/svt-str-mpro-27w-45x140/","Ссылка")</f>
        <v>Ссылка</v>
      </c>
      <c r="AD483" s="167">
        <v>6059</v>
      </c>
    </row>
    <row r="484" spans="1:30" s="161" customFormat="1" ht="39.950000000000003" hidden="1" customHeight="1" outlineLevel="2" x14ac:dyDescent="0.25">
      <c r="A484" s="171"/>
      <c r="B484" s="21" t="s">
        <v>135</v>
      </c>
      <c r="C484" s="159" t="s">
        <v>195</v>
      </c>
      <c r="D484" s="161">
        <v>9032</v>
      </c>
      <c r="E484" s="161">
        <v>52</v>
      </c>
      <c r="F484" s="161">
        <v>173</v>
      </c>
      <c r="G484" s="161" t="s">
        <v>196</v>
      </c>
      <c r="H484" s="161" t="s">
        <v>63</v>
      </c>
      <c r="I484" s="161">
        <v>67</v>
      </c>
      <c r="J484" s="161" t="s">
        <v>105</v>
      </c>
      <c r="K484" s="21" t="s">
        <v>106</v>
      </c>
      <c r="L484" s="161" t="s">
        <v>3380</v>
      </c>
      <c r="M484" s="21" t="s">
        <v>107</v>
      </c>
      <c r="N484" s="161" t="s">
        <v>108</v>
      </c>
      <c r="O484" s="21" t="s">
        <v>68</v>
      </c>
      <c r="P484" s="161" t="s">
        <v>109</v>
      </c>
      <c r="Q484" s="21" t="s">
        <v>70</v>
      </c>
      <c r="R484" s="161">
        <v>70</v>
      </c>
      <c r="S484" s="161" t="s">
        <v>3220</v>
      </c>
      <c r="T484" s="161" t="s">
        <v>174</v>
      </c>
      <c r="U484" s="161" t="s">
        <v>142</v>
      </c>
      <c r="V484" s="21" t="s">
        <v>74</v>
      </c>
      <c r="W484" s="21" t="s">
        <v>160</v>
      </c>
      <c r="X484" s="161" t="s">
        <v>198</v>
      </c>
      <c r="Y484" s="161">
        <v>0.01</v>
      </c>
      <c r="Z484" s="161">
        <v>2</v>
      </c>
      <c r="AA484" s="161" t="s">
        <v>144</v>
      </c>
      <c r="AB484" s="161" t="s">
        <v>114</v>
      </c>
      <c r="AC484" s="266" t="str">
        <f>HYPERLINK("https://gcsvt.ru/svetodiodnyie-svetilniki/svt-str-mpro-53w-45x140-c/","Ссылка")</f>
        <v>Ссылка</v>
      </c>
      <c r="AD484" s="167">
        <v>8259</v>
      </c>
    </row>
    <row r="485" spans="1:30" s="161" customFormat="1" ht="39.950000000000003" hidden="1" customHeight="1" outlineLevel="2" x14ac:dyDescent="0.25">
      <c r="A485" s="171"/>
      <c r="B485" s="21" t="s">
        <v>135</v>
      </c>
      <c r="C485" s="159" t="s">
        <v>199</v>
      </c>
      <c r="D485" s="161">
        <v>9032</v>
      </c>
      <c r="E485" s="161">
        <v>52</v>
      </c>
      <c r="F485" s="161">
        <v>173</v>
      </c>
      <c r="G485" s="161" t="s">
        <v>200</v>
      </c>
      <c r="H485" s="161" t="s">
        <v>177</v>
      </c>
      <c r="I485" s="161">
        <v>67</v>
      </c>
      <c r="J485" s="161" t="s">
        <v>105</v>
      </c>
      <c r="K485" s="21" t="s">
        <v>106</v>
      </c>
      <c r="L485" s="161" t="s">
        <v>3380</v>
      </c>
      <c r="M485" s="21" t="s">
        <v>107</v>
      </c>
      <c r="N485" s="161" t="s">
        <v>108</v>
      </c>
      <c r="O485" s="21" t="s">
        <v>68</v>
      </c>
      <c r="P485" s="161" t="s">
        <v>109</v>
      </c>
      <c r="Q485" s="21" t="s">
        <v>70</v>
      </c>
      <c r="R485" s="161">
        <v>70</v>
      </c>
      <c r="S485" s="161" t="s">
        <v>3220</v>
      </c>
      <c r="T485" s="161" t="s">
        <v>174</v>
      </c>
      <c r="U485" s="161" t="s">
        <v>142</v>
      </c>
      <c r="V485" s="21" t="s">
        <v>74</v>
      </c>
      <c r="W485" s="21" t="s">
        <v>112</v>
      </c>
      <c r="X485" s="161" t="s">
        <v>201</v>
      </c>
      <c r="Y485" s="161">
        <v>0.01</v>
      </c>
      <c r="Z485" s="161">
        <v>2</v>
      </c>
      <c r="AA485" s="161" t="s">
        <v>144</v>
      </c>
      <c r="AB485" s="161" t="s">
        <v>114</v>
      </c>
      <c r="AC485" s="266" t="str">
        <f>HYPERLINK("https://gcsvt.ru/svetodiodnyie-svetilniki/svt-str-mpro-53w-20/","Ссылка")</f>
        <v>Ссылка</v>
      </c>
      <c r="AD485" s="167">
        <v>8259</v>
      </c>
    </row>
    <row r="486" spans="1:30" s="161" customFormat="1" ht="39.950000000000003" hidden="1" customHeight="1" outlineLevel="2" x14ac:dyDescent="0.25">
      <c r="A486" s="171"/>
      <c r="B486" s="21" t="s">
        <v>135</v>
      </c>
      <c r="C486" s="159" t="s">
        <v>202</v>
      </c>
      <c r="D486" s="161">
        <v>9032</v>
      </c>
      <c r="E486" s="161">
        <v>52</v>
      </c>
      <c r="F486" s="161">
        <v>173</v>
      </c>
      <c r="G486" s="161" t="s">
        <v>203</v>
      </c>
      <c r="H486" s="161" t="s">
        <v>180</v>
      </c>
      <c r="I486" s="161">
        <v>67</v>
      </c>
      <c r="J486" s="161" t="s">
        <v>105</v>
      </c>
      <c r="K486" s="21" t="s">
        <v>106</v>
      </c>
      <c r="L486" s="161" t="s">
        <v>3380</v>
      </c>
      <c r="M486" s="21" t="s">
        <v>107</v>
      </c>
      <c r="N486" s="161" t="s">
        <v>108</v>
      </c>
      <c r="O486" s="21" t="s">
        <v>68</v>
      </c>
      <c r="P486" s="161" t="s">
        <v>109</v>
      </c>
      <c r="Q486" s="21" t="s">
        <v>70</v>
      </c>
      <c r="R486" s="161">
        <v>70</v>
      </c>
      <c r="S486" s="161" t="s">
        <v>3220</v>
      </c>
      <c r="T486" s="161" t="s">
        <v>174</v>
      </c>
      <c r="U486" s="161" t="s">
        <v>142</v>
      </c>
      <c r="V486" s="21" t="s">
        <v>74</v>
      </c>
      <c r="W486" s="21" t="s">
        <v>112</v>
      </c>
      <c r="X486" s="161" t="s">
        <v>201</v>
      </c>
      <c r="Y486" s="161">
        <v>0.01</v>
      </c>
      <c r="Z486" s="161">
        <v>2</v>
      </c>
      <c r="AA486" s="161" t="s">
        <v>144</v>
      </c>
      <c r="AB486" s="161" t="s">
        <v>114</v>
      </c>
      <c r="AC486" s="266" t="str">
        <f>HYPERLINK("https://gcsvt.ru/svetodiodnyie-svetilniki/svt-str-mpro-53w-35/","Ссылка")</f>
        <v>Ссылка</v>
      </c>
      <c r="AD486" s="167">
        <v>8259</v>
      </c>
    </row>
    <row r="487" spans="1:30" s="161" customFormat="1" ht="39.950000000000003" hidden="1" customHeight="1" outlineLevel="2" x14ac:dyDescent="0.25">
      <c r="A487" s="171"/>
      <c r="B487" s="21" t="s">
        <v>135</v>
      </c>
      <c r="C487" s="159" t="s">
        <v>204</v>
      </c>
      <c r="D487" s="161">
        <v>9032</v>
      </c>
      <c r="E487" s="161">
        <v>52</v>
      </c>
      <c r="F487" s="161">
        <v>173</v>
      </c>
      <c r="G487" s="161" t="s">
        <v>205</v>
      </c>
      <c r="H487" s="161" t="s">
        <v>183</v>
      </c>
      <c r="I487" s="161">
        <v>67</v>
      </c>
      <c r="J487" s="161" t="s">
        <v>105</v>
      </c>
      <c r="K487" s="21" t="s">
        <v>106</v>
      </c>
      <c r="L487" s="161" t="s">
        <v>3380</v>
      </c>
      <c r="M487" s="21" t="s">
        <v>107</v>
      </c>
      <c r="N487" s="161" t="s">
        <v>108</v>
      </c>
      <c r="O487" s="21" t="s">
        <v>68</v>
      </c>
      <c r="P487" s="161" t="s">
        <v>109</v>
      </c>
      <c r="Q487" s="21" t="s">
        <v>70</v>
      </c>
      <c r="R487" s="161">
        <v>70</v>
      </c>
      <c r="S487" s="161" t="s">
        <v>3220</v>
      </c>
      <c r="T487" s="161" t="s">
        <v>174</v>
      </c>
      <c r="U487" s="161" t="s">
        <v>142</v>
      </c>
      <c r="V487" s="21" t="s">
        <v>74</v>
      </c>
      <c r="W487" s="21" t="s">
        <v>112</v>
      </c>
      <c r="X487" s="161" t="s">
        <v>201</v>
      </c>
      <c r="Y487" s="161">
        <v>0.01</v>
      </c>
      <c r="Z487" s="161">
        <v>2</v>
      </c>
      <c r="AA487" s="161" t="s">
        <v>144</v>
      </c>
      <c r="AB487" s="161" t="s">
        <v>114</v>
      </c>
      <c r="AC487" s="266" t="str">
        <f>HYPERLINK("https://gcsvt.ru/svetodiodnyie-svetilniki/svt-str-mpro-53w-65/","Ссылка")</f>
        <v>Ссылка</v>
      </c>
      <c r="AD487" s="167">
        <v>8259</v>
      </c>
    </row>
    <row r="488" spans="1:30" s="161" customFormat="1" ht="39.950000000000003" hidden="1" customHeight="1" outlineLevel="2" x14ac:dyDescent="0.25">
      <c r="A488" s="171"/>
      <c r="B488" s="21" t="s">
        <v>135</v>
      </c>
      <c r="C488" s="159" t="s">
        <v>206</v>
      </c>
      <c r="D488" s="161">
        <v>9032</v>
      </c>
      <c r="E488" s="161">
        <v>52</v>
      </c>
      <c r="F488" s="161">
        <v>173</v>
      </c>
      <c r="G488" s="161" t="s">
        <v>207</v>
      </c>
      <c r="H488" s="161" t="s">
        <v>186</v>
      </c>
      <c r="I488" s="161">
        <v>67</v>
      </c>
      <c r="J488" s="161" t="s">
        <v>105</v>
      </c>
      <c r="K488" s="21" t="s">
        <v>106</v>
      </c>
      <c r="L488" s="161" t="s">
        <v>3380</v>
      </c>
      <c r="M488" s="21" t="s">
        <v>107</v>
      </c>
      <c r="N488" s="161" t="s">
        <v>108</v>
      </c>
      <c r="O488" s="21" t="s">
        <v>68</v>
      </c>
      <c r="P488" s="161" t="s">
        <v>109</v>
      </c>
      <c r="Q488" s="21" t="s">
        <v>70</v>
      </c>
      <c r="R488" s="161">
        <v>70</v>
      </c>
      <c r="S488" s="161" t="s">
        <v>3220</v>
      </c>
      <c r="T488" s="161" t="s">
        <v>174</v>
      </c>
      <c r="U488" s="161" t="s">
        <v>142</v>
      </c>
      <c r="V488" s="21" t="s">
        <v>74</v>
      </c>
      <c r="W488" s="21" t="s">
        <v>112</v>
      </c>
      <c r="X488" s="161" t="s">
        <v>201</v>
      </c>
      <c r="Y488" s="161">
        <v>0.01</v>
      </c>
      <c r="Z488" s="161">
        <v>2</v>
      </c>
      <c r="AA488" s="161" t="s">
        <v>144</v>
      </c>
      <c r="AB488" s="161" t="s">
        <v>114</v>
      </c>
      <c r="AC488" s="266" t="str">
        <f>HYPERLINK("https://gcsvt.ru/svetodiodnyie-svetilniki/svt-str-mpro-53w-100/","Ссылка")</f>
        <v>Ссылка</v>
      </c>
      <c r="AD488" s="167">
        <v>8259</v>
      </c>
    </row>
    <row r="489" spans="1:30" s="161" customFormat="1" ht="39.950000000000003" hidden="1" customHeight="1" outlineLevel="2" x14ac:dyDescent="0.25">
      <c r="A489" s="171"/>
      <c r="B489" s="21" t="s">
        <v>135</v>
      </c>
      <c r="C489" s="159" t="s">
        <v>208</v>
      </c>
      <c r="D489" s="161">
        <v>9032</v>
      </c>
      <c r="E489" s="161">
        <v>52</v>
      </c>
      <c r="F489" s="161">
        <v>173</v>
      </c>
      <c r="G489" s="161" t="s">
        <v>209</v>
      </c>
      <c r="H489" s="161" t="s">
        <v>189</v>
      </c>
      <c r="I489" s="161">
        <v>67</v>
      </c>
      <c r="J489" s="161" t="s">
        <v>105</v>
      </c>
      <c r="K489" s="21" t="s">
        <v>106</v>
      </c>
      <c r="L489" s="161" t="s">
        <v>3380</v>
      </c>
      <c r="M489" s="21" t="s">
        <v>107</v>
      </c>
      <c r="N489" s="161" t="s">
        <v>108</v>
      </c>
      <c r="O489" s="21" t="s">
        <v>68</v>
      </c>
      <c r="P489" s="161" t="s">
        <v>109</v>
      </c>
      <c r="Q489" s="21" t="s">
        <v>70</v>
      </c>
      <c r="R489" s="161">
        <v>70</v>
      </c>
      <c r="S489" s="161" t="s">
        <v>3220</v>
      </c>
      <c r="T489" s="161" t="s">
        <v>174</v>
      </c>
      <c r="U489" s="161" t="s">
        <v>142</v>
      </c>
      <c r="V489" s="21" t="s">
        <v>74</v>
      </c>
      <c r="W489" s="21" t="s">
        <v>112</v>
      </c>
      <c r="X489" s="161" t="s">
        <v>201</v>
      </c>
      <c r="Y489" s="161">
        <v>0.01</v>
      </c>
      <c r="Z489" s="161">
        <v>2</v>
      </c>
      <c r="AA489" s="161" t="s">
        <v>144</v>
      </c>
      <c r="AB489" s="161" t="s">
        <v>114</v>
      </c>
      <c r="AC489" s="266" t="str">
        <f>HYPERLINK("https://gcsvt.ru/svetodiodnyie-svetilniki/svt-str-mpro-53w-30x120/","Ссылка")</f>
        <v>Ссылка</v>
      </c>
      <c r="AD489" s="167">
        <v>8259</v>
      </c>
    </row>
    <row r="490" spans="1:30" s="161" customFormat="1" ht="39.950000000000003" hidden="1" customHeight="1" outlineLevel="2" x14ac:dyDescent="0.25">
      <c r="A490" s="171"/>
      <c r="B490" s="21" t="s">
        <v>135</v>
      </c>
      <c r="C490" s="159" t="s">
        <v>210</v>
      </c>
      <c r="D490" s="161">
        <v>9032</v>
      </c>
      <c r="E490" s="161">
        <v>52</v>
      </c>
      <c r="F490" s="161">
        <v>173</v>
      </c>
      <c r="G490" s="161" t="s">
        <v>211</v>
      </c>
      <c r="H490" s="161" t="s">
        <v>192</v>
      </c>
      <c r="I490" s="161">
        <v>67</v>
      </c>
      <c r="J490" s="161" t="s">
        <v>105</v>
      </c>
      <c r="K490" s="21" t="s">
        <v>106</v>
      </c>
      <c r="L490" s="161" t="s">
        <v>3380</v>
      </c>
      <c r="M490" s="21" t="s">
        <v>107</v>
      </c>
      <c r="N490" s="161" t="s">
        <v>108</v>
      </c>
      <c r="O490" s="21" t="s">
        <v>68</v>
      </c>
      <c r="P490" s="161" t="s">
        <v>109</v>
      </c>
      <c r="Q490" s="21" t="s">
        <v>70</v>
      </c>
      <c r="R490" s="161">
        <v>70</v>
      </c>
      <c r="S490" s="161" t="s">
        <v>3220</v>
      </c>
      <c r="T490" s="161" t="s">
        <v>174</v>
      </c>
      <c r="U490" s="161" t="s">
        <v>142</v>
      </c>
      <c r="V490" s="21" t="s">
        <v>74</v>
      </c>
      <c r="W490" s="21" t="s">
        <v>112</v>
      </c>
      <c r="X490" s="161" t="s">
        <v>201</v>
      </c>
      <c r="Y490" s="161">
        <v>0.01</v>
      </c>
      <c r="Z490" s="161">
        <v>2</v>
      </c>
      <c r="AA490" s="161" t="s">
        <v>144</v>
      </c>
      <c r="AB490" s="161" t="s">
        <v>114</v>
      </c>
      <c r="AC490" s="266" t="str">
        <f>HYPERLINK("https://gcsvt.ru/svetodiodnyie-svetilniki/svt-str-mpro-53w-vsm/","Ссылка")</f>
        <v>Ссылка</v>
      </c>
      <c r="AD490" s="167">
        <v>8259</v>
      </c>
    </row>
    <row r="491" spans="1:30" s="161" customFormat="1" ht="39.950000000000003" hidden="1" customHeight="1" outlineLevel="2" x14ac:dyDescent="0.25">
      <c r="A491" s="171"/>
      <c r="B491" s="21" t="s">
        <v>135</v>
      </c>
      <c r="C491" s="159" t="s">
        <v>212</v>
      </c>
      <c r="D491" s="161">
        <v>9032</v>
      </c>
      <c r="E491" s="161">
        <v>52</v>
      </c>
      <c r="F491" s="161">
        <v>173</v>
      </c>
      <c r="G491" s="161" t="s">
        <v>213</v>
      </c>
      <c r="H491" s="161" t="s">
        <v>63</v>
      </c>
      <c r="I491" s="161">
        <v>67</v>
      </c>
      <c r="J491" s="161" t="s">
        <v>105</v>
      </c>
      <c r="K491" s="21" t="s">
        <v>106</v>
      </c>
      <c r="L491" s="161" t="s">
        <v>3380</v>
      </c>
      <c r="M491" s="21" t="s">
        <v>107</v>
      </c>
      <c r="N491" s="161" t="s">
        <v>108</v>
      </c>
      <c r="O491" s="21" t="s">
        <v>68</v>
      </c>
      <c r="P491" s="161" t="s">
        <v>109</v>
      </c>
      <c r="Q491" s="21" t="s">
        <v>70</v>
      </c>
      <c r="R491" s="161">
        <v>70</v>
      </c>
      <c r="S491" s="161" t="s">
        <v>3220</v>
      </c>
      <c r="T491" s="161" t="s">
        <v>174</v>
      </c>
      <c r="U491" s="161" t="s">
        <v>142</v>
      </c>
      <c r="V491" s="21" t="s">
        <v>74</v>
      </c>
      <c r="W491" s="21" t="s">
        <v>112</v>
      </c>
      <c r="X491" s="161" t="s">
        <v>201</v>
      </c>
      <c r="Y491" s="161">
        <v>0.01</v>
      </c>
      <c r="Z491" s="161">
        <v>2</v>
      </c>
      <c r="AA491" s="161" t="s">
        <v>144</v>
      </c>
      <c r="AB491" s="161" t="s">
        <v>114</v>
      </c>
      <c r="AC491" s="266" t="str">
        <f>HYPERLINK("https://gcsvt.ru/svetodiodnyie-svetilniki/svt-str-mpro-53w-45x140/","Ссылка")</f>
        <v>Ссылка</v>
      </c>
      <c r="AD491" s="167">
        <v>8259</v>
      </c>
    </row>
    <row r="492" spans="1:30" s="161" customFormat="1" ht="39.950000000000003" hidden="1" customHeight="1" outlineLevel="2" x14ac:dyDescent="0.25">
      <c r="A492" s="171"/>
      <c r="B492" s="21" t="s">
        <v>135</v>
      </c>
      <c r="C492" s="159" t="s">
        <v>214</v>
      </c>
      <c r="D492" s="161">
        <v>13272</v>
      </c>
      <c r="E492" s="161">
        <v>79</v>
      </c>
      <c r="F492" s="161">
        <v>168</v>
      </c>
      <c r="G492" s="161" t="s">
        <v>215</v>
      </c>
      <c r="H492" s="161" t="s">
        <v>63</v>
      </c>
      <c r="I492" s="161">
        <v>67</v>
      </c>
      <c r="J492" s="161" t="s">
        <v>105</v>
      </c>
      <c r="K492" s="21" t="s">
        <v>106</v>
      </c>
      <c r="L492" s="161" t="s">
        <v>3380</v>
      </c>
      <c r="M492" s="21" t="s">
        <v>157</v>
      </c>
      <c r="N492" s="161" t="s">
        <v>67</v>
      </c>
      <c r="O492" s="21" t="s">
        <v>68</v>
      </c>
      <c r="P492" s="161" t="s">
        <v>109</v>
      </c>
      <c r="Q492" s="21" t="s">
        <v>70</v>
      </c>
      <c r="R492" s="161">
        <v>70</v>
      </c>
      <c r="S492" s="161" t="s">
        <v>3221</v>
      </c>
      <c r="T492" s="161" t="s">
        <v>174</v>
      </c>
      <c r="U492" s="161" t="s">
        <v>73</v>
      </c>
      <c r="V492" s="21" t="s">
        <v>74</v>
      </c>
      <c r="W492" s="21" t="s">
        <v>160</v>
      </c>
      <c r="X492" s="161" t="s">
        <v>217</v>
      </c>
      <c r="Y492" s="161">
        <v>0.01</v>
      </c>
      <c r="Z492" s="161">
        <v>2.5</v>
      </c>
      <c r="AA492" s="161" t="s">
        <v>77</v>
      </c>
      <c r="AB492" s="161" t="s">
        <v>114</v>
      </c>
      <c r="AC492" s="266" t="str">
        <f>HYPERLINK("https://gcsvt.ru/svetodiodnyie-svetilniki/svt-str-mpro-79w-45x140-c/","Ссылка")</f>
        <v>Ссылка</v>
      </c>
      <c r="AD492" s="167">
        <v>13084</v>
      </c>
    </row>
    <row r="493" spans="1:30" s="161" customFormat="1" ht="39.950000000000003" hidden="1" customHeight="1" outlineLevel="2" x14ac:dyDescent="0.25">
      <c r="A493" s="171"/>
      <c r="B493" s="21" t="s">
        <v>135</v>
      </c>
      <c r="C493" s="159" t="s">
        <v>218</v>
      </c>
      <c r="D493" s="161">
        <v>13272</v>
      </c>
      <c r="E493" s="161">
        <v>79</v>
      </c>
      <c r="F493" s="161">
        <v>168</v>
      </c>
      <c r="G493" s="161" t="s">
        <v>219</v>
      </c>
      <c r="H493" s="161" t="s">
        <v>177</v>
      </c>
      <c r="I493" s="161">
        <v>67</v>
      </c>
      <c r="J493" s="161" t="s">
        <v>105</v>
      </c>
      <c r="K493" s="21" t="s">
        <v>106</v>
      </c>
      <c r="L493" s="161" t="s">
        <v>3380</v>
      </c>
      <c r="M493" s="21" t="s">
        <v>157</v>
      </c>
      <c r="N493" s="161" t="s">
        <v>67</v>
      </c>
      <c r="O493" s="21" t="s">
        <v>68</v>
      </c>
      <c r="P493" s="161" t="s">
        <v>109</v>
      </c>
      <c r="Q493" s="21" t="s">
        <v>70</v>
      </c>
      <c r="R493" s="161">
        <v>70</v>
      </c>
      <c r="S493" s="161" t="s">
        <v>3221</v>
      </c>
      <c r="T493" s="161" t="s">
        <v>174</v>
      </c>
      <c r="U493" s="161" t="s">
        <v>73</v>
      </c>
      <c r="V493" s="21" t="s">
        <v>74</v>
      </c>
      <c r="W493" s="21" t="s">
        <v>112</v>
      </c>
      <c r="X493" s="161" t="s">
        <v>220</v>
      </c>
      <c r="Y493" s="161">
        <v>0.01</v>
      </c>
      <c r="Z493" s="161">
        <v>2.5</v>
      </c>
      <c r="AA493" s="161" t="s">
        <v>77</v>
      </c>
      <c r="AB493" s="161" t="s">
        <v>114</v>
      </c>
      <c r="AC493" s="266" t="str">
        <f>HYPERLINK("https://gcsvt.ru/svetodiodnyie-svetilniki/svt-str-mpro-79w-20/","Ссылка")</f>
        <v>Ссылка</v>
      </c>
      <c r="AD493" s="167">
        <v>13084</v>
      </c>
    </row>
    <row r="494" spans="1:30" s="161" customFormat="1" ht="39.950000000000003" hidden="1" customHeight="1" outlineLevel="2" x14ac:dyDescent="0.25">
      <c r="A494" s="171"/>
      <c r="B494" s="21" t="s">
        <v>135</v>
      </c>
      <c r="C494" s="159" t="s">
        <v>221</v>
      </c>
      <c r="D494" s="161">
        <v>13272</v>
      </c>
      <c r="E494" s="161">
        <v>79</v>
      </c>
      <c r="F494" s="161">
        <v>168</v>
      </c>
      <c r="G494" s="161" t="s">
        <v>222</v>
      </c>
      <c r="H494" s="161" t="s">
        <v>180</v>
      </c>
      <c r="I494" s="161">
        <v>67</v>
      </c>
      <c r="J494" s="161" t="s">
        <v>105</v>
      </c>
      <c r="K494" s="21" t="s">
        <v>106</v>
      </c>
      <c r="L494" s="161" t="s">
        <v>3380</v>
      </c>
      <c r="M494" s="21" t="s">
        <v>157</v>
      </c>
      <c r="N494" s="161" t="s">
        <v>67</v>
      </c>
      <c r="O494" s="21" t="s">
        <v>68</v>
      </c>
      <c r="P494" s="161" t="s">
        <v>109</v>
      </c>
      <c r="Q494" s="21" t="s">
        <v>70</v>
      </c>
      <c r="R494" s="161">
        <v>70</v>
      </c>
      <c r="S494" s="161" t="s">
        <v>3221</v>
      </c>
      <c r="T494" s="161" t="s">
        <v>174</v>
      </c>
      <c r="U494" s="161" t="s">
        <v>73</v>
      </c>
      <c r="V494" s="21" t="s">
        <v>74</v>
      </c>
      <c r="W494" s="21" t="s">
        <v>112</v>
      </c>
      <c r="X494" s="161" t="s">
        <v>220</v>
      </c>
      <c r="Y494" s="161">
        <v>0.01</v>
      </c>
      <c r="Z494" s="161">
        <v>2.5</v>
      </c>
      <c r="AA494" s="161" t="s">
        <v>77</v>
      </c>
      <c r="AB494" s="161" t="s">
        <v>114</v>
      </c>
      <c r="AC494" s="266" t="str">
        <f>HYPERLINK("https://gcsvt.ru/svetodiodnyie-svetilniki/svt-str-mpro-79w-35/","Ссылка")</f>
        <v>Ссылка</v>
      </c>
      <c r="AD494" s="167">
        <v>13084</v>
      </c>
    </row>
    <row r="495" spans="1:30" s="161" customFormat="1" ht="39.950000000000003" hidden="1" customHeight="1" outlineLevel="2" x14ac:dyDescent="0.25">
      <c r="A495" s="171"/>
      <c r="B495" s="21" t="s">
        <v>135</v>
      </c>
      <c r="C495" s="159" t="s">
        <v>223</v>
      </c>
      <c r="D495" s="161">
        <v>13272</v>
      </c>
      <c r="E495" s="161">
        <v>79</v>
      </c>
      <c r="F495" s="161">
        <v>168</v>
      </c>
      <c r="G495" s="161" t="s">
        <v>224</v>
      </c>
      <c r="H495" s="161" t="s">
        <v>183</v>
      </c>
      <c r="I495" s="161">
        <v>67</v>
      </c>
      <c r="J495" s="161" t="s">
        <v>105</v>
      </c>
      <c r="K495" s="21" t="s">
        <v>106</v>
      </c>
      <c r="L495" s="161" t="s">
        <v>3380</v>
      </c>
      <c r="M495" s="21" t="s">
        <v>157</v>
      </c>
      <c r="N495" s="161" t="s">
        <v>67</v>
      </c>
      <c r="O495" s="21" t="s">
        <v>68</v>
      </c>
      <c r="P495" s="161" t="s">
        <v>109</v>
      </c>
      <c r="Q495" s="21" t="s">
        <v>70</v>
      </c>
      <c r="R495" s="161">
        <v>70</v>
      </c>
      <c r="S495" s="161" t="s">
        <v>3221</v>
      </c>
      <c r="T495" s="161" t="s">
        <v>174</v>
      </c>
      <c r="U495" s="161" t="s">
        <v>73</v>
      </c>
      <c r="V495" s="21" t="s">
        <v>74</v>
      </c>
      <c r="W495" s="21" t="s">
        <v>112</v>
      </c>
      <c r="X495" s="161" t="s">
        <v>220</v>
      </c>
      <c r="Y495" s="161">
        <v>0.01</v>
      </c>
      <c r="Z495" s="161">
        <v>2.5</v>
      </c>
      <c r="AA495" s="161" t="s">
        <v>77</v>
      </c>
      <c r="AB495" s="161" t="s">
        <v>114</v>
      </c>
      <c r="AC495" s="266" t="str">
        <f>HYPERLINK("https://gcsvt.ru/svetodiodnyie-svetilniki/svt-str-mpro-79w-65/","Ссылка")</f>
        <v>Ссылка</v>
      </c>
      <c r="AD495" s="167">
        <v>13084</v>
      </c>
    </row>
    <row r="496" spans="1:30" s="161" customFormat="1" ht="39.950000000000003" hidden="1" customHeight="1" outlineLevel="2" x14ac:dyDescent="0.25">
      <c r="A496" s="171"/>
      <c r="B496" s="21" t="s">
        <v>135</v>
      </c>
      <c r="C496" s="159" t="s">
        <v>225</v>
      </c>
      <c r="D496" s="161">
        <v>13272</v>
      </c>
      <c r="E496" s="161">
        <v>79</v>
      </c>
      <c r="F496" s="161">
        <v>168</v>
      </c>
      <c r="G496" s="161" t="s">
        <v>226</v>
      </c>
      <c r="H496" s="161" t="s">
        <v>186</v>
      </c>
      <c r="I496" s="161">
        <v>67</v>
      </c>
      <c r="J496" s="161" t="s">
        <v>105</v>
      </c>
      <c r="K496" s="21" t="s">
        <v>106</v>
      </c>
      <c r="L496" s="161" t="s">
        <v>3380</v>
      </c>
      <c r="M496" s="21" t="s">
        <v>157</v>
      </c>
      <c r="N496" s="161" t="s">
        <v>67</v>
      </c>
      <c r="O496" s="21" t="s">
        <v>68</v>
      </c>
      <c r="P496" s="161" t="s">
        <v>109</v>
      </c>
      <c r="Q496" s="21" t="s">
        <v>70</v>
      </c>
      <c r="R496" s="161">
        <v>70</v>
      </c>
      <c r="S496" s="161" t="s">
        <v>3221</v>
      </c>
      <c r="T496" s="161" t="s">
        <v>174</v>
      </c>
      <c r="U496" s="161" t="s">
        <v>73</v>
      </c>
      <c r="V496" s="21" t="s">
        <v>74</v>
      </c>
      <c r="W496" s="21" t="s">
        <v>112</v>
      </c>
      <c r="X496" s="161" t="s">
        <v>220</v>
      </c>
      <c r="Y496" s="161">
        <v>0.01</v>
      </c>
      <c r="Z496" s="161">
        <v>2.5</v>
      </c>
      <c r="AA496" s="161" t="s">
        <v>77</v>
      </c>
      <c r="AB496" s="161" t="s">
        <v>114</v>
      </c>
      <c r="AC496" s="266" t="str">
        <f>HYPERLINK("https://gcsvt.ru/svetodiodnyie-svetilniki/svt-str-mpro-79w-100/","Ссылка")</f>
        <v>Ссылка</v>
      </c>
      <c r="AD496" s="167">
        <v>13084</v>
      </c>
    </row>
    <row r="497" spans="1:30" s="161" customFormat="1" ht="39.950000000000003" hidden="1" customHeight="1" outlineLevel="2" x14ac:dyDescent="0.25">
      <c r="A497" s="171"/>
      <c r="B497" s="21" t="s">
        <v>135</v>
      </c>
      <c r="C497" s="159" t="s">
        <v>227</v>
      </c>
      <c r="D497" s="161">
        <v>13272</v>
      </c>
      <c r="E497" s="161">
        <v>79</v>
      </c>
      <c r="F497" s="161">
        <v>168</v>
      </c>
      <c r="G497" s="161" t="s">
        <v>228</v>
      </c>
      <c r="H497" s="161" t="s">
        <v>189</v>
      </c>
      <c r="I497" s="161">
        <v>67</v>
      </c>
      <c r="J497" s="161" t="s">
        <v>105</v>
      </c>
      <c r="K497" s="21" t="s">
        <v>106</v>
      </c>
      <c r="L497" s="161" t="s">
        <v>3380</v>
      </c>
      <c r="M497" s="21" t="s">
        <v>157</v>
      </c>
      <c r="N497" s="161" t="s">
        <v>67</v>
      </c>
      <c r="O497" s="21" t="s">
        <v>68</v>
      </c>
      <c r="P497" s="161" t="s">
        <v>109</v>
      </c>
      <c r="Q497" s="21" t="s">
        <v>70</v>
      </c>
      <c r="R497" s="161">
        <v>70</v>
      </c>
      <c r="S497" s="161" t="s">
        <v>3221</v>
      </c>
      <c r="T497" s="161" t="s">
        <v>174</v>
      </c>
      <c r="U497" s="161" t="s">
        <v>73</v>
      </c>
      <c r="V497" s="21" t="s">
        <v>74</v>
      </c>
      <c r="W497" s="21" t="s">
        <v>112</v>
      </c>
      <c r="X497" s="161" t="s">
        <v>220</v>
      </c>
      <c r="Y497" s="161">
        <v>0.01</v>
      </c>
      <c r="Z497" s="161">
        <v>2.5</v>
      </c>
      <c r="AA497" s="161" t="s">
        <v>77</v>
      </c>
      <c r="AB497" s="161" t="s">
        <v>114</v>
      </c>
      <c r="AC497" s="266" t="str">
        <f>HYPERLINK("https://gcsvt.ru/svetodiodnyie-svetilniki/svt-str-mpro-79w-30x120/","Ссылка")</f>
        <v>Ссылка</v>
      </c>
      <c r="AD497" s="167">
        <v>13084</v>
      </c>
    </row>
    <row r="498" spans="1:30" s="161" customFormat="1" ht="39.950000000000003" hidden="1" customHeight="1" outlineLevel="2" x14ac:dyDescent="0.25">
      <c r="A498" s="171"/>
      <c r="B498" s="21" t="s">
        <v>135</v>
      </c>
      <c r="C498" s="159" t="s">
        <v>229</v>
      </c>
      <c r="D498" s="161">
        <v>13272</v>
      </c>
      <c r="E498" s="161">
        <v>79</v>
      </c>
      <c r="F498" s="161">
        <v>168</v>
      </c>
      <c r="G498" s="161" t="s">
        <v>230</v>
      </c>
      <c r="H498" s="161" t="s">
        <v>192</v>
      </c>
      <c r="I498" s="161">
        <v>67</v>
      </c>
      <c r="J498" s="161" t="s">
        <v>105</v>
      </c>
      <c r="K498" s="21" t="s">
        <v>106</v>
      </c>
      <c r="L498" s="161" t="s">
        <v>3380</v>
      </c>
      <c r="M498" s="21" t="s">
        <v>157</v>
      </c>
      <c r="N498" s="161" t="s">
        <v>67</v>
      </c>
      <c r="O498" s="21" t="s">
        <v>68</v>
      </c>
      <c r="P498" s="161" t="s">
        <v>109</v>
      </c>
      <c r="Q498" s="21" t="s">
        <v>70</v>
      </c>
      <c r="R498" s="161">
        <v>70</v>
      </c>
      <c r="S498" s="161" t="s">
        <v>3221</v>
      </c>
      <c r="T498" s="161" t="s">
        <v>174</v>
      </c>
      <c r="U498" s="161" t="s">
        <v>73</v>
      </c>
      <c r="V498" s="21" t="s">
        <v>74</v>
      </c>
      <c r="W498" s="21" t="s">
        <v>112</v>
      </c>
      <c r="X498" s="161" t="s">
        <v>220</v>
      </c>
      <c r="Y498" s="161">
        <v>0.01</v>
      </c>
      <c r="Z498" s="161">
        <v>2.5</v>
      </c>
      <c r="AA498" s="161" t="s">
        <v>77</v>
      </c>
      <c r="AB498" s="161" t="s">
        <v>114</v>
      </c>
      <c r="AC498" s="266" t="str">
        <f>HYPERLINK("https://gcsvt.ru/svetodiodnyie-svetilniki/svt-str-mpro-79w-vsm/","Ссылка")</f>
        <v>Ссылка</v>
      </c>
      <c r="AD498" s="167">
        <v>13084</v>
      </c>
    </row>
    <row r="499" spans="1:30" s="161" customFormat="1" ht="39.950000000000003" hidden="1" customHeight="1" outlineLevel="2" x14ac:dyDescent="0.25">
      <c r="A499" s="171"/>
      <c r="B499" s="21" t="s">
        <v>135</v>
      </c>
      <c r="C499" s="159" t="s">
        <v>231</v>
      </c>
      <c r="D499" s="161">
        <v>13272</v>
      </c>
      <c r="E499" s="161">
        <v>79</v>
      </c>
      <c r="F499" s="161">
        <v>168</v>
      </c>
      <c r="G499" s="161" t="s">
        <v>232</v>
      </c>
      <c r="H499" s="161" t="s">
        <v>63</v>
      </c>
      <c r="I499" s="161">
        <v>67</v>
      </c>
      <c r="J499" s="161" t="s">
        <v>105</v>
      </c>
      <c r="K499" s="21" t="s">
        <v>106</v>
      </c>
      <c r="L499" s="161" t="s">
        <v>3380</v>
      </c>
      <c r="M499" s="21" t="s">
        <v>157</v>
      </c>
      <c r="N499" s="161" t="s">
        <v>67</v>
      </c>
      <c r="O499" s="21" t="s">
        <v>68</v>
      </c>
      <c r="P499" s="161" t="s">
        <v>109</v>
      </c>
      <c r="Q499" s="21" t="s">
        <v>70</v>
      </c>
      <c r="R499" s="161">
        <v>70</v>
      </c>
      <c r="S499" s="161" t="s">
        <v>3221</v>
      </c>
      <c r="T499" s="161" t="s">
        <v>174</v>
      </c>
      <c r="U499" s="161" t="s">
        <v>73</v>
      </c>
      <c r="V499" s="21" t="s">
        <v>74</v>
      </c>
      <c r="W499" s="21" t="s">
        <v>112</v>
      </c>
      <c r="X499" s="161" t="s">
        <v>220</v>
      </c>
      <c r="Y499" s="161">
        <v>0.01</v>
      </c>
      <c r="Z499" s="161">
        <v>2.5</v>
      </c>
      <c r="AA499" s="161" t="s">
        <v>77</v>
      </c>
      <c r="AB499" s="161" t="s">
        <v>114</v>
      </c>
      <c r="AC499" s="266" t="str">
        <f>HYPERLINK("https://gcsvt.ru/svetodiodnyie-svetilniki/svt-str-mpro-79w-45x140/","Ссылка")</f>
        <v>Ссылка</v>
      </c>
      <c r="AD499" s="167">
        <v>13084</v>
      </c>
    </row>
    <row r="500" spans="1:30" s="161" customFormat="1" ht="39.950000000000003" hidden="1" customHeight="1" outlineLevel="2" x14ac:dyDescent="0.25">
      <c r="A500" s="171"/>
      <c r="B500" s="21" t="s">
        <v>135</v>
      </c>
      <c r="C500" s="159" t="s">
        <v>233</v>
      </c>
      <c r="D500" s="161">
        <v>16728</v>
      </c>
      <c r="E500" s="161">
        <v>102</v>
      </c>
      <c r="F500" s="161">
        <v>164</v>
      </c>
      <c r="G500" s="161" t="s">
        <v>234</v>
      </c>
      <c r="H500" s="161" t="s">
        <v>63</v>
      </c>
      <c r="I500" s="161">
        <v>67</v>
      </c>
      <c r="J500" s="161" t="s">
        <v>105</v>
      </c>
      <c r="K500" s="21" t="s">
        <v>106</v>
      </c>
      <c r="L500" s="161" t="s">
        <v>3380</v>
      </c>
      <c r="M500" s="21" t="s">
        <v>235</v>
      </c>
      <c r="N500" s="161" t="s">
        <v>67</v>
      </c>
      <c r="O500" s="21" t="s">
        <v>68</v>
      </c>
      <c r="P500" s="161" t="s">
        <v>109</v>
      </c>
      <c r="Q500" s="21" t="s">
        <v>70</v>
      </c>
      <c r="R500" s="161">
        <v>70</v>
      </c>
      <c r="S500" s="161" t="s">
        <v>3222</v>
      </c>
      <c r="T500" s="161" t="s">
        <v>174</v>
      </c>
      <c r="U500" s="161" t="s">
        <v>73</v>
      </c>
      <c r="V500" s="21" t="s">
        <v>74</v>
      </c>
      <c r="W500" s="21" t="s">
        <v>160</v>
      </c>
      <c r="X500" s="161" t="s">
        <v>237</v>
      </c>
      <c r="Y500" s="161">
        <v>0.01</v>
      </c>
      <c r="Z500" s="161">
        <v>2.9</v>
      </c>
      <c r="AA500" s="161" t="s">
        <v>77</v>
      </c>
      <c r="AB500" s="161" t="s">
        <v>114</v>
      </c>
      <c r="AC500" s="266" t="str">
        <f>HYPERLINK("https://gcsvt.ru/svetodiodnyie-svetilniki/svt-str-mpro-102w-45x140-c/","Ссылка")</f>
        <v>Ссылка</v>
      </c>
      <c r="AD500" s="167">
        <v>16315</v>
      </c>
    </row>
    <row r="501" spans="1:30" s="161" customFormat="1" ht="39.950000000000003" hidden="1" customHeight="1" outlineLevel="2" x14ac:dyDescent="0.25">
      <c r="A501" s="171"/>
      <c r="B501" s="21" t="s">
        <v>135</v>
      </c>
      <c r="C501" s="159" t="s">
        <v>238</v>
      </c>
      <c r="D501" s="161">
        <v>16728</v>
      </c>
      <c r="E501" s="161">
        <v>102</v>
      </c>
      <c r="F501" s="161">
        <v>164</v>
      </c>
      <c r="G501" s="161" t="s">
        <v>239</v>
      </c>
      <c r="H501" s="161" t="s">
        <v>177</v>
      </c>
      <c r="I501" s="161">
        <v>67</v>
      </c>
      <c r="J501" s="161" t="s">
        <v>105</v>
      </c>
      <c r="K501" s="21" t="s">
        <v>106</v>
      </c>
      <c r="L501" s="161" t="s">
        <v>3380</v>
      </c>
      <c r="M501" s="21" t="s">
        <v>235</v>
      </c>
      <c r="N501" s="161" t="s">
        <v>67</v>
      </c>
      <c r="O501" s="21" t="s">
        <v>68</v>
      </c>
      <c r="P501" s="161" t="s">
        <v>109</v>
      </c>
      <c r="Q501" s="21" t="s">
        <v>70</v>
      </c>
      <c r="R501" s="161">
        <v>70</v>
      </c>
      <c r="S501" s="161" t="s">
        <v>3222</v>
      </c>
      <c r="T501" s="161" t="s">
        <v>174</v>
      </c>
      <c r="U501" s="161" t="s">
        <v>73</v>
      </c>
      <c r="V501" s="21" t="s">
        <v>74</v>
      </c>
      <c r="W501" s="21" t="s">
        <v>112</v>
      </c>
      <c r="X501" s="161" t="s">
        <v>240</v>
      </c>
      <c r="Y501" s="161">
        <v>0.01</v>
      </c>
      <c r="Z501" s="161">
        <v>2.9</v>
      </c>
      <c r="AA501" s="161" t="s">
        <v>77</v>
      </c>
      <c r="AB501" s="161" t="s">
        <v>114</v>
      </c>
      <c r="AC501" s="266" t="str">
        <f>HYPERLINK("https://gcsvt.ru/svetodiodnyie-svetilniki/svt-str-mpro-102w-20/","Ссылка")</f>
        <v>Ссылка</v>
      </c>
      <c r="AD501" s="167">
        <v>16315</v>
      </c>
    </row>
    <row r="502" spans="1:30" s="161" customFormat="1" ht="39.950000000000003" hidden="1" customHeight="1" outlineLevel="2" x14ac:dyDescent="0.25">
      <c r="A502" s="171"/>
      <c r="B502" s="21" t="s">
        <v>135</v>
      </c>
      <c r="C502" s="159" t="s">
        <v>241</v>
      </c>
      <c r="D502" s="161">
        <v>16728</v>
      </c>
      <c r="E502" s="161">
        <v>102</v>
      </c>
      <c r="F502" s="161">
        <v>164</v>
      </c>
      <c r="G502" s="161" t="s">
        <v>242</v>
      </c>
      <c r="H502" s="161" t="s">
        <v>180</v>
      </c>
      <c r="I502" s="161">
        <v>67</v>
      </c>
      <c r="J502" s="161" t="s">
        <v>105</v>
      </c>
      <c r="K502" s="21" t="s">
        <v>106</v>
      </c>
      <c r="L502" s="161" t="s">
        <v>3380</v>
      </c>
      <c r="M502" s="21" t="s">
        <v>235</v>
      </c>
      <c r="N502" s="161" t="s">
        <v>67</v>
      </c>
      <c r="O502" s="21" t="s">
        <v>68</v>
      </c>
      <c r="P502" s="161" t="s">
        <v>109</v>
      </c>
      <c r="Q502" s="21" t="s">
        <v>70</v>
      </c>
      <c r="R502" s="161">
        <v>70</v>
      </c>
      <c r="S502" s="161" t="s">
        <v>3222</v>
      </c>
      <c r="T502" s="161" t="s">
        <v>174</v>
      </c>
      <c r="U502" s="161" t="s">
        <v>73</v>
      </c>
      <c r="V502" s="21" t="s">
        <v>74</v>
      </c>
      <c r="W502" s="21" t="s">
        <v>112</v>
      </c>
      <c r="X502" s="161" t="s">
        <v>240</v>
      </c>
      <c r="Y502" s="161">
        <v>0.01</v>
      </c>
      <c r="Z502" s="161">
        <v>2.9</v>
      </c>
      <c r="AA502" s="161" t="s">
        <v>77</v>
      </c>
      <c r="AB502" s="161" t="s">
        <v>114</v>
      </c>
      <c r="AC502" s="266" t="str">
        <f>HYPERLINK("https://gcsvt.ru/svetodiodnyie-svetilniki/svt-str-mpro-102w-35/","Ссылка")</f>
        <v>Ссылка</v>
      </c>
      <c r="AD502" s="167">
        <v>16315</v>
      </c>
    </row>
    <row r="503" spans="1:30" s="161" customFormat="1" ht="39.950000000000003" hidden="1" customHeight="1" outlineLevel="2" x14ac:dyDescent="0.25">
      <c r="A503" s="171"/>
      <c r="B503" s="21" t="s">
        <v>135</v>
      </c>
      <c r="C503" s="159" t="s">
        <v>243</v>
      </c>
      <c r="D503" s="161">
        <v>16728</v>
      </c>
      <c r="E503" s="161">
        <v>102</v>
      </c>
      <c r="F503" s="161">
        <v>164</v>
      </c>
      <c r="G503" s="161" t="s">
        <v>244</v>
      </c>
      <c r="H503" s="161" t="s">
        <v>183</v>
      </c>
      <c r="I503" s="161">
        <v>67</v>
      </c>
      <c r="J503" s="161" t="s">
        <v>105</v>
      </c>
      <c r="K503" s="21" t="s">
        <v>106</v>
      </c>
      <c r="L503" s="161" t="s">
        <v>3380</v>
      </c>
      <c r="M503" s="21" t="s">
        <v>235</v>
      </c>
      <c r="N503" s="161" t="s">
        <v>67</v>
      </c>
      <c r="O503" s="21" t="s">
        <v>68</v>
      </c>
      <c r="P503" s="161" t="s">
        <v>109</v>
      </c>
      <c r="Q503" s="21" t="s">
        <v>70</v>
      </c>
      <c r="R503" s="161">
        <v>70</v>
      </c>
      <c r="S503" s="161" t="s">
        <v>3222</v>
      </c>
      <c r="T503" s="161" t="s">
        <v>174</v>
      </c>
      <c r="U503" s="161" t="s">
        <v>73</v>
      </c>
      <c r="V503" s="21" t="s">
        <v>74</v>
      </c>
      <c r="W503" s="21" t="s">
        <v>112</v>
      </c>
      <c r="X503" s="161" t="s">
        <v>240</v>
      </c>
      <c r="Y503" s="161">
        <v>0.01</v>
      </c>
      <c r="Z503" s="161">
        <v>2.9</v>
      </c>
      <c r="AA503" s="161" t="s">
        <v>77</v>
      </c>
      <c r="AB503" s="161" t="s">
        <v>114</v>
      </c>
      <c r="AC503" s="266" t="str">
        <f>HYPERLINK("https://gcsvt.ru/svetodiodnyie-svetilniki/svt-str-mpro-102w-65/","Ссылка")</f>
        <v>Ссылка</v>
      </c>
      <c r="AD503" s="167">
        <v>16315</v>
      </c>
    </row>
    <row r="504" spans="1:30" s="161" customFormat="1" ht="39.950000000000003" hidden="1" customHeight="1" outlineLevel="2" x14ac:dyDescent="0.25">
      <c r="A504" s="171"/>
      <c r="B504" s="21" t="s">
        <v>135</v>
      </c>
      <c r="C504" s="159" t="s">
        <v>245</v>
      </c>
      <c r="D504" s="161">
        <v>16728</v>
      </c>
      <c r="E504" s="161">
        <v>102</v>
      </c>
      <c r="F504" s="161">
        <v>164</v>
      </c>
      <c r="G504" s="161" t="s">
        <v>246</v>
      </c>
      <c r="H504" s="161" t="s">
        <v>186</v>
      </c>
      <c r="I504" s="161">
        <v>67</v>
      </c>
      <c r="J504" s="161" t="s">
        <v>105</v>
      </c>
      <c r="K504" s="21" t="s">
        <v>106</v>
      </c>
      <c r="L504" s="161" t="s">
        <v>3380</v>
      </c>
      <c r="M504" s="21" t="s">
        <v>235</v>
      </c>
      <c r="N504" s="161" t="s">
        <v>67</v>
      </c>
      <c r="O504" s="21" t="s">
        <v>68</v>
      </c>
      <c r="P504" s="161" t="s">
        <v>109</v>
      </c>
      <c r="Q504" s="21" t="s">
        <v>70</v>
      </c>
      <c r="R504" s="161">
        <v>70</v>
      </c>
      <c r="S504" s="161" t="s">
        <v>3222</v>
      </c>
      <c r="T504" s="161" t="s">
        <v>174</v>
      </c>
      <c r="U504" s="161" t="s">
        <v>73</v>
      </c>
      <c r="V504" s="21" t="s">
        <v>74</v>
      </c>
      <c r="W504" s="21" t="s">
        <v>112</v>
      </c>
      <c r="X504" s="161" t="s">
        <v>240</v>
      </c>
      <c r="Y504" s="161">
        <v>0.01</v>
      </c>
      <c r="Z504" s="161">
        <v>2.9</v>
      </c>
      <c r="AA504" s="161" t="s">
        <v>77</v>
      </c>
      <c r="AB504" s="161" t="s">
        <v>114</v>
      </c>
      <c r="AC504" s="266" t="str">
        <f>HYPERLINK("https://gcsvt.ru/svetodiodnyie-svetilniki/svt-str-mpro-102w-100/","Ссылка")</f>
        <v>Ссылка</v>
      </c>
      <c r="AD504" s="167">
        <v>16315</v>
      </c>
    </row>
    <row r="505" spans="1:30" s="161" customFormat="1" ht="39.950000000000003" hidden="1" customHeight="1" outlineLevel="2" x14ac:dyDescent="0.25">
      <c r="A505" s="171"/>
      <c r="B505" s="21" t="s">
        <v>135</v>
      </c>
      <c r="C505" s="159" t="s">
        <v>247</v>
      </c>
      <c r="D505" s="161">
        <v>16728</v>
      </c>
      <c r="E505" s="161">
        <v>102</v>
      </c>
      <c r="F505" s="161">
        <v>164</v>
      </c>
      <c r="G505" s="161" t="s">
        <v>248</v>
      </c>
      <c r="H505" s="161" t="s">
        <v>189</v>
      </c>
      <c r="I505" s="161">
        <v>67</v>
      </c>
      <c r="J505" s="161" t="s">
        <v>105</v>
      </c>
      <c r="K505" s="21" t="s">
        <v>106</v>
      </c>
      <c r="L505" s="161" t="s">
        <v>3380</v>
      </c>
      <c r="M505" s="21" t="s">
        <v>235</v>
      </c>
      <c r="N505" s="161" t="s">
        <v>67</v>
      </c>
      <c r="O505" s="21" t="s">
        <v>68</v>
      </c>
      <c r="P505" s="161" t="s">
        <v>109</v>
      </c>
      <c r="Q505" s="21" t="s">
        <v>70</v>
      </c>
      <c r="R505" s="161">
        <v>70</v>
      </c>
      <c r="S505" s="161" t="s">
        <v>3222</v>
      </c>
      <c r="T505" s="161" t="s">
        <v>174</v>
      </c>
      <c r="U505" s="161" t="s">
        <v>73</v>
      </c>
      <c r="V505" s="21" t="s">
        <v>74</v>
      </c>
      <c r="W505" s="21" t="s">
        <v>112</v>
      </c>
      <c r="X505" s="161" t="s">
        <v>240</v>
      </c>
      <c r="Y505" s="161">
        <v>0.01</v>
      </c>
      <c r="Z505" s="161">
        <v>2.9</v>
      </c>
      <c r="AA505" s="161" t="s">
        <v>77</v>
      </c>
      <c r="AB505" s="161" t="s">
        <v>114</v>
      </c>
      <c r="AC505" s="266" t="str">
        <f>HYPERLINK("https://gcsvt.ru/svetodiodnyie-svetilniki/svt-str-mpro-102w-30x120/","Ссылка")</f>
        <v>Ссылка</v>
      </c>
      <c r="AD505" s="167">
        <v>16315</v>
      </c>
    </row>
    <row r="506" spans="1:30" s="161" customFormat="1" ht="39.950000000000003" hidden="1" customHeight="1" outlineLevel="2" x14ac:dyDescent="0.25">
      <c r="A506" s="171"/>
      <c r="B506" s="21" t="s">
        <v>135</v>
      </c>
      <c r="C506" s="159" t="s">
        <v>249</v>
      </c>
      <c r="D506" s="161">
        <v>16728</v>
      </c>
      <c r="E506" s="161">
        <v>102</v>
      </c>
      <c r="F506" s="161">
        <v>164</v>
      </c>
      <c r="G506" s="161" t="s">
        <v>250</v>
      </c>
      <c r="H506" s="161" t="s">
        <v>192</v>
      </c>
      <c r="I506" s="161">
        <v>67</v>
      </c>
      <c r="J506" s="161" t="s">
        <v>105</v>
      </c>
      <c r="K506" s="21" t="s">
        <v>106</v>
      </c>
      <c r="L506" s="161" t="s">
        <v>3380</v>
      </c>
      <c r="M506" s="21" t="s">
        <v>235</v>
      </c>
      <c r="N506" s="161" t="s">
        <v>67</v>
      </c>
      <c r="O506" s="21" t="s">
        <v>68</v>
      </c>
      <c r="P506" s="161" t="s">
        <v>109</v>
      </c>
      <c r="Q506" s="21" t="s">
        <v>70</v>
      </c>
      <c r="R506" s="161">
        <v>70</v>
      </c>
      <c r="S506" s="161" t="s">
        <v>3222</v>
      </c>
      <c r="T506" s="161" t="s">
        <v>174</v>
      </c>
      <c r="U506" s="161" t="s">
        <v>73</v>
      </c>
      <c r="V506" s="21" t="s">
        <v>74</v>
      </c>
      <c r="W506" s="21" t="s">
        <v>112</v>
      </c>
      <c r="X506" s="161" t="s">
        <v>240</v>
      </c>
      <c r="Y506" s="161">
        <v>0.01</v>
      </c>
      <c r="Z506" s="161">
        <v>2.9</v>
      </c>
      <c r="AA506" s="161" t="s">
        <v>77</v>
      </c>
      <c r="AB506" s="161" t="s">
        <v>114</v>
      </c>
      <c r="AC506" s="266" t="str">
        <f>HYPERLINK("https://gcsvt.ru/svetodiodnyie-svetilniki/svt-str-mpro-102w-vsm/","Ссылка")</f>
        <v>Ссылка</v>
      </c>
      <c r="AD506" s="167">
        <v>16315</v>
      </c>
    </row>
    <row r="507" spans="1:30" s="161" customFormat="1" ht="39.950000000000003" hidden="1" customHeight="1" outlineLevel="2" x14ac:dyDescent="0.25">
      <c r="A507" s="171"/>
      <c r="B507" s="21" t="s">
        <v>135</v>
      </c>
      <c r="C507" s="159" t="s">
        <v>251</v>
      </c>
      <c r="D507" s="161">
        <v>16728</v>
      </c>
      <c r="E507" s="161">
        <v>102</v>
      </c>
      <c r="F507" s="161">
        <v>164</v>
      </c>
      <c r="G507" s="161" t="s">
        <v>252</v>
      </c>
      <c r="H507" s="161" t="s">
        <v>63</v>
      </c>
      <c r="I507" s="161">
        <v>67</v>
      </c>
      <c r="J507" s="161" t="s">
        <v>105</v>
      </c>
      <c r="K507" s="21" t="s">
        <v>106</v>
      </c>
      <c r="L507" s="161" t="s">
        <v>3380</v>
      </c>
      <c r="M507" s="21" t="s">
        <v>235</v>
      </c>
      <c r="N507" s="161" t="s">
        <v>67</v>
      </c>
      <c r="O507" s="21" t="s">
        <v>68</v>
      </c>
      <c r="P507" s="161" t="s">
        <v>109</v>
      </c>
      <c r="Q507" s="21" t="s">
        <v>70</v>
      </c>
      <c r="R507" s="161">
        <v>70</v>
      </c>
      <c r="S507" s="161" t="s">
        <v>3222</v>
      </c>
      <c r="T507" s="161" t="s">
        <v>174</v>
      </c>
      <c r="U507" s="161" t="s">
        <v>73</v>
      </c>
      <c r="V507" s="21" t="s">
        <v>74</v>
      </c>
      <c r="W507" s="21" t="s">
        <v>112</v>
      </c>
      <c r="X507" s="161" t="s">
        <v>240</v>
      </c>
      <c r="Y507" s="161">
        <v>0.01</v>
      </c>
      <c r="Z507" s="161">
        <v>2.9</v>
      </c>
      <c r="AA507" s="161" t="s">
        <v>77</v>
      </c>
      <c r="AB507" s="161" t="s">
        <v>114</v>
      </c>
      <c r="AC507" s="266" t="str">
        <f>HYPERLINK("https://gcsvt.ru/svetodiodnyie-svetilniki/svt-str-mpro-102w-45x140/","Ссылка")</f>
        <v>Ссылка</v>
      </c>
      <c r="AD507" s="167">
        <v>16315</v>
      </c>
    </row>
    <row r="508" spans="1:30" s="161" customFormat="1" ht="39.950000000000003" hidden="1" customHeight="1" outlineLevel="2" x14ac:dyDescent="0.25">
      <c r="A508" s="171"/>
      <c r="B508" s="47" t="s">
        <v>253</v>
      </c>
      <c r="C508" s="159"/>
      <c r="D508" s="160"/>
      <c r="E508" s="160"/>
      <c r="F508" s="160"/>
      <c r="G508" s="160"/>
      <c r="H508" s="160"/>
      <c r="I508" s="160"/>
      <c r="J508" s="160"/>
      <c r="K508" s="159"/>
      <c r="L508" s="160"/>
      <c r="M508" s="159"/>
      <c r="N508" s="160"/>
      <c r="O508" s="159"/>
      <c r="Q508" s="21"/>
      <c r="V508" s="21"/>
      <c r="W508" s="21"/>
      <c r="AC508" s="228"/>
      <c r="AD508" s="167"/>
    </row>
    <row r="509" spans="1:30" s="161" customFormat="1" ht="39.950000000000003" hidden="1" customHeight="1" outlineLevel="2" x14ac:dyDescent="0.25">
      <c r="A509" s="171"/>
      <c r="B509" s="47" t="s">
        <v>2764</v>
      </c>
      <c r="C509" s="159"/>
      <c r="D509" s="160"/>
      <c r="E509" s="160"/>
      <c r="F509" s="160"/>
      <c r="G509" s="160"/>
      <c r="H509" s="160"/>
      <c r="I509" s="160"/>
      <c r="J509" s="160"/>
      <c r="K509" s="159"/>
      <c r="L509" s="160"/>
      <c r="M509" s="159"/>
      <c r="N509" s="160"/>
      <c r="O509" s="159"/>
      <c r="Q509" s="21"/>
      <c r="V509" s="21"/>
      <c r="W509" s="21"/>
      <c r="AC509" s="228"/>
      <c r="AD509" s="167"/>
    </row>
    <row r="510" spans="1:30" s="161" customFormat="1" ht="39.950000000000003" hidden="1" customHeight="1" outlineLevel="1" collapsed="1" x14ac:dyDescent="0.25">
      <c r="A510" s="184"/>
      <c r="B510" s="217" t="s">
        <v>254</v>
      </c>
      <c r="C510" s="218"/>
      <c r="K510" s="21"/>
      <c r="M510" s="21"/>
      <c r="O510" s="21"/>
      <c r="Q510" s="21"/>
      <c r="V510" s="21"/>
      <c r="W510" s="21"/>
      <c r="AC510" s="228"/>
      <c r="AD510" s="167"/>
    </row>
    <row r="511" spans="1:30" s="161" customFormat="1" ht="39.950000000000003" hidden="1" customHeight="1" outlineLevel="2" x14ac:dyDescent="0.25">
      <c r="A511" s="171"/>
      <c r="B511" s="21" t="s">
        <v>254</v>
      </c>
      <c r="C511" s="159" t="s">
        <v>4534</v>
      </c>
      <c r="D511" s="12">
        <v>9980</v>
      </c>
      <c r="E511" s="12">
        <v>62</v>
      </c>
      <c r="F511" s="12">
        <v>160</v>
      </c>
      <c r="G511" s="12" t="s">
        <v>4718</v>
      </c>
      <c r="H511" s="12" t="s">
        <v>138</v>
      </c>
      <c r="I511" s="12">
        <v>67</v>
      </c>
      <c r="J511" s="12" t="s">
        <v>105</v>
      </c>
      <c r="K511" s="12" t="s">
        <v>106</v>
      </c>
      <c r="L511" s="12" t="s">
        <v>3380</v>
      </c>
      <c r="M511" s="12" t="s">
        <v>4553</v>
      </c>
      <c r="N511" s="12" t="s">
        <v>108</v>
      </c>
      <c r="O511" s="12" t="s">
        <v>139</v>
      </c>
      <c r="P511" s="12" t="s">
        <v>109</v>
      </c>
      <c r="Q511" s="12" t="s">
        <v>2288</v>
      </c>
      <c r="R511" s="12">
        <v>80</v>
      </c>
      <c r="S511" s="12" t="s">
        <v>4554</v>
      </c>
      <c r="T511" s="12" t="s">
        <v>4555</v>
      </c>
      <c r="U511" s="12" t="s">
        <v>142</v>
      </c>
      <c r="V511" s="12" t="s">
        <v>74</v>
      </c>
      <c r="W511" s="12" t="s">
        <v>112</v>
      </c>
      <c r="X511" s="12"/>
      <c r="Y511" s="12"/>
      <c r="Z511" s="12"/>
      <c r="AA511" s="257" t="s">
        <v>4556</v>
      </c>
      <c r="AB511" s="12" t="s">
        <v>114</v>
      </c>
      <c r="AC511" s="266" t="str">
        <f>HYPERLINK("https://gcsvt.ru/svetodiodnyie-svetilniki/svt-str-mpro-32w-duo/","Ссылка")</f>
        <v>Ссылка</v>
      </c>
      <c r="AD511" s="167">
        <v>9388</v>
      </c>
    </row>
    <row r="512" spans="1:30" s="161" customFormat="1" ht="39.950000000000003" hidden="1" customHeight="1" outlineLevel="2" x14ac:dyDescent="0.25">
      <c r="A512" s="171"/>
      <c r="B512" s="21" t="s">
        <v>254</v>
      </c>
      <c r="C512" s="159" t="s">
        <v>4535</v>
      </c>
      <c r="D512" s="12">
        <v>9980</v>
      </c>
      <c r="E512" s="12">
        <v>62</v>
      </c>
      <c r="F512" s="12">
        <v>160</v>
      </c>
      <c r="G512" s="12" t="s">
        <v>4703</v>
      </c>
      <c r="H512" s="12" t="s">
        <v>641</v>
      </c>
      <c r="I512" s="12">
        <v>67</v>
      </c>
      <c r="J512" s="12" t="s">
        <v>105</v>
      </c>
      <c r="K512" s="12" t="s">
        <v>106</v>
      </c>
      <c r="L512" s="12" t="s">
        <v>3380</v>
      </c>
      <c r="M512" s="12" t="s">
        <v>4553</v>
      </c>
      <c r="N512" s="12" t="s">
        <v>108</v>
      </c>
      <c r="O512" s="12" t="s">
        <v>139</v>
      </c>
      <c r="P512" s="12" t="s">
        <v>109</v>
      </c>
      <c r="Q512" s="12" t="s">
        <v>1720</v>
      </c>
      <c r="R512" s="12">
        <v>80</v>
      </c>
      <c r="S512" s="12" t="s">
        <v>4554</v>
      </c>
      <c r="T512" s="12" t="s">
        <v>4555</v>
      </c>
      <c r="U512" s="12" t="s">
        <v>142</v>
      </c>
      <c r="V512" s="12" t="s">
        <v>74</v>
      </c>
      <c r="W512" s="12" t="s">
        <v>112</v>
      </c>
      <c r="X512" s="12"/>
      <c r="Y512" s="12"/>
      <c r="Z512" s="12"/>
      <c r="AA512" s="257" t="s">
        <v>4556</v>
      </c>
      <c r="AB512" s="12" t="s">
        <v>114</v>
      </c>
      <c r="AC512" s="266" t="str">
        <f>HYPERLINK("https://gcsvt.ru/svetodiodnyie-svetilniki/svt-str-mpro-32w-duo90/","Ссылка")</f>
        <v>Ссылка</v>
      </c>
      <c r="AD512" s="167">
        <v>9388</v>
      </c>
    </row>
    <row r="513" spans="1:30" s="161" customFormat="1" ht="39.950000000000003" hidden="1" customHeight="1" outlineLevel="2" x14ac:dyDescent="0.25">
      <c r="A513" s="171"/>
      <c r="B513" s="21" t="s">
        <v>254</v>
      </c>
      <c r="C513" s="159" t="s">
        <v>4536</v>
      </c>
      <c r="D513" s="12">
        <v>9980</v>
      </c>
      <c r="E513" s="12">
        <v>62</v>
      </c>
      <c r="F513" s="12">
        <v>160</v>
      </c>
      <c r="G513" s="12" t="s">
        <v>4716</v>
      </c>
      <c r="H513" s="12" t="s">
        <v>641</v>
      </c>
      <c r="I513" s="12">
        <v>67</v>
      </c>
      <c r="J513" s="12" t="s">
        <v>105</v>
      </c>
      <c r="K513" s="12" t="s">
        <v>106</v>
      </c>
      <c r="L513" s="12" t="s">
        <v>3380</v>
      </c>
      <c r="M513" s="12" t="s">
        <v>4553</v>
      </c>
      <c r="N513" s="12" t="s">
        <v>108</v>
      </c>
      <c r="O513" s="12" t="s">
        <v>139</v>
      </c>
      <c r="P513" s="12" t="s">
        <v>109</v>
      </c>
      <c r="Q513" s="12" t="s">
        <v>1720</v>
      </c>
      <c r="R513" s="12">
        <v>80</v>
      </c>
      <c r="S513" s="12" t="s">
        <v>4554</v>
      </c>
      <c r="T513" s="12" t="s">
        <v>4555</v>
      </c>
      <c r="U513" s="12" t="s">
        <v>142</v>
      </c>
      <c r="V513" s="12" t="s">
        <v>74</v>
      </c>
      <c r="W513" s="12" t="s">
        <v>160</v>
      </c>
      <c r="X513" s="12"/>
      <c r="Y513" s="12"/>
      <c r="Z513" s="12"/>
      <c r="AA513" s="257" t="s">
        <v>4556</v>
      </c>
      <c r="AB513" s="12" t="s">
        <v>114</v>
      </c>
      <c r="AC513" s="266" t="str">
        <f>HYPERLINK("https://gcsvt.ru/svetodiodnyie-svetilniki/svt-str-mpro-32w-duo90-s/","Ссылка")</f>
        <v>Ссылка</v>
      </c>
      <c r="AD513" s="167">
        <v>9388</v>
      </c>
    </row>
    <row r="514" spans="1:30" s="161" customFormat="1" ht="39.950000000000003" hidden="1" customHeight="1" outlineLevel="2" x14ac:dyDescent="0.25">
      <c r="A514" s="171"/>
      <c r="B514" s="21" t="s">
        <v>254</v>
      </c>
      <c r="C514" s="159" t="s">
        <v>4537</v>
      </c>
      <c r="D514" s="12">
        <v>9980</v>
      </c>
      <c r="E514" s="12">
        <v>62</v>
      </c>
      <c r="F514" s="12">
        <v>160</v>
      </c>
      <c r="G514" s="12" t="s">
        <v>4717</v>
      </c>
      <c r="H514" s="12" t="s">
        <v>138</v>
      </c>
      <c r="I514" s="12">
        <v>67</v>
      </c>
      <c r="J514" s="12" t="s">
        <v>105</v>
      </c>
      <c r="K514" s="12" t="s">
        <v>106</v>
      </c>
      <c r="L514" s="12" t="s">
        <v>3380</v>
      </c>
      <c r="M514" s="12" t="s">
        <v>4553</v>
      </c>
      <c r="N514" s="12" t="s">
        <v>108</v>
      </c>
      <c r="O514" s="12" t="s">
        <v>139</v>
      </c>
      <c r="P514" s="12" t="s">
        <v>109</v>
      </c>
      <c r="Q514" s="12" t="s">
        <v>1720</v>
      </c>
      <c r="R514" s="12">
        <v>80</v>
      </c>
      <c r="S514" s="12" t="s">
        <v>4554</v>
      </c>
      <c r="T514" s="12" t="s">
        <v>4555</v>
      </c>
      <c r="U514" s="12" t="s">
        <v>142</v>
      </c>
      <c r="V514" s="12" t="s">
        <v>74</v>
      </c>
      <c r="W514" s="12" t="s">
        <v>160</v>
      </c>
      <c r="X514" s="12"/>
      <c r="Y514" s="12"/>
      <c r="Z514" s="12"/>
      <c r="AA514" s="257" t="s">
        <v>4556</v>
      </c>
      <c r="AB514" s="12" t="s">
        <v>114</v>
      </c>
      <c r="AC514" s="266" t="str">
        <f>HYPERLINK("https://gcsvt.ru/svetodiodnyie-svetilniki/svt-str-mpro-32w-duo-c/","Ссылка")</f>
        <v>Ссылка</v>
      </c>
      <c r="AD514" s="167">
        <v>9388</v>
      </c>
    </row>
    <row r="515" spans="1:30" s="161" customFormat="1" ht="39.950000000000003" hidden="1" customHeight="1" outlineLevel="2" x14ac:dyDescent="0.25">
      <c r="A515" s="171"/>
      <c r="B515" s="21" t="s">
        <v>254</v>
      </c>
      <c r="C515" s="159" t="s">
        <v>4538</v>
      </c>
      <c r="D515" s="12">
        <v>14970</v>
      </c>
      <c r="E515" s="12">
        <v>93</v>
      </c>
      <c r="F515" s="12">
        <v>160</v>
      </c>
      <c r="G515" s="12" t="s">
        <v>4704</v>
      </c>
      <c r="H515" s="12" t="s">
        <v>138</v>
      </c>
      <c r="I515" s="12">
        <v>67</v>
      </c>
      <c r="J515" s="12" t="s">
        <v>105</v>
      </c>
      <c r="K515" s="12" t="s">
        <v>106</v>
      </c>
      <c r="L515" s="12" t="s">
        <v>3380</v>
      </c>
      <c r="M515" s="12" t="s">
        <v>4553</v>
      </c>
      <c r="N515" s="12" t="s">
        <v>108</v>
      </c>
      <c r="O515" s="12" t="s">
        <v>139</v>
      </c>
      <c r="P515" s="12" t="s">
        <v>109</v>
      </c>
      <c r="Q515" s="12" t="s">
        <v>1720</v>
      </c>
      <c r="R515" s="12">
        <v>80</v>
      </c>
      <c r="S515" s="12" t="s">
        <v>4557</v>
      </c>
      <c r="T515" s="12" t="s">
        <v>4555</v>
      </c>
      <c r="U515" s="12" t="s">
        <v>142</v>
      </c>
      <c r="V515" s="12" t="s">
        <v>74</v>
      </c>
      <c r="W515" s="12" t="s">
        <v>112</v>
      </c>
      <c r="X515" s="12"/>
      <c r="Y515" s="12"/>
      <c r="Z515" s="12"/>
      <c r="AA515" s="257" t="s">
        <v>4556</v>
      </c>
      <c r="AB515" s="12" t="s">
        <v>114</v>
      </c>
      <c r="AC515" s="266" t="str">
        <f>HYPERLINK("https://gcsvt.ru/svetodiodnyie-svetilniki/svt-str-mpro-32w-trio/","Ссылка")</f>
        <v>Ссылка</v>
      </c>
      <c r="AD515" s="167">
        <v>14082</v>
      </c>
    </row>
    <row r="516" spans="1:30" s="161" customFormat="1" ht="39.950000000000003" hidden="1" customHeight="1" outlineLevel="2" x14ac:dyDescent="0.25">
      <c r="A516" s="171"/>
      <c r="B516" s="21" t="s">
        <v>254</v>
      </c>
      <c r="C516" s="159" t="s">
        <v>4539</v>
      </c>
      <c r="D516" s="12">
        <v>14970</v>
      </c>
      <c r="E516" s="12">
        <v>93</v>
      </c>
      <c r="F516" s="12">
        <v>160</v>
      </c>
      <c r="G516" s="12" t="s">
        <v>4706</v>
      </c>
      <c r="H516" s="12" t="s">
        <v>641</v>
      </c>
      <c r="I516" s="12">
        <v>67</v>
      </c>
      <c r="J516" s="12" t="s">
        <v>105</v>
      </c>
      <c r="K516" s="12" t="s">
        <v>106</v>
      </c>
      <c r="L516" s="12" t="s">
        <v>3380</v>
      </c>
      <c r="M516" s="12" t="s">
        <v>4553</v>
      </c>
      <c r="N516" s="12" t="s">
        <v>108</v>
      </c>
      <c r="O516" s="12" t="s">
        <v>139</v>
      </c>
      <c r="P516" s="12" t="s">
        <v>109</v>
      </c>
      <c r="Q516" s="12" t="s">
        <v>1720</v>
      </c>
      <c r="R516" s="12">
        <v>80</v>
      </c>
      <c r="S516" s="12" t="s">
        <v>4557</v>
      </c>
      <c r="T516" s="12" t="s">
        <v>4555</v>
      </c>
      <c r="U516" s="12" t="s">
        <v>142</v>
      </c>
      <c r="V516" s="12" t="s">
        <v>74</v>
      </c>
      <c r="W516" s="12" t="s">
        <v>112</v>
      </c>
      <c r="X516" s="12"/>
      <c r="Y516" s="12"/>
      <c r="Z516" s="12"/>
      <c r="AA516" s="257" t="s">
        <v>4556</v>
      </c>
      <c r="AB516" s="12" t="s">
        <v>114</v>
      </c>
      <c r="AC516" s="266" t="str">
        <f>HYPERLINK("https://gcsvt.ru/svetodiodnyie-svetilniki/svt-str-mpro-32w-trio90/","Ссылка")</f>
        <v>Ссылка</v>
      </c>
      <c r="AD516" s="167">
        <v>14082</v>
      </c>
    </row>
    <row r="517" spans="1:30" s="161" customFormat="1" ht="39.950000000000003" hidden="1" customHeight="1" outlineLevel="2" x14ac:dyDescent="0.25">
      <c r="A517" s="171"/>
      <c r="B517" s="21" t="s">
        <v>254</v>
      </c>
      <c r="C517" s="159" t="s">
        <v>4540</v>
      </c>
      <c r="D517" s="12">
        <v>14970</v>
      </c>
      <c r="E517" s="12">
        <v>93</v>
      </c>
      <c r="F517" s="12">
        <v>160</v>
      </c>
      <c r="G517" s="12" t="s">
        <v>4707</v>
      </c>
      <c r="H517" s="12" t="s">
        <v>641</v>
      </c>
      <c r="I517" s="12">
        <v>67</v>
      </c>
      <c r="J517" s="12" t="s">
        <v>105</v>
      </c>
      <c r="K517" s="12" t="s">
        <v>106</v>
      </c>
      <c r="L517" s="12" t="s">
        <v>3380</v>
      </c>
      <c r="M517" s="12" t="s">
        <v>4553</v>
      </c>
      <c r="N517" s="12" t="s">
        <v>108</v>
      </c>
      <c r="O517" s="12" t="s">
        <v>139</v>
      </c>
      <c r="P517" s="12" t="s">
        <v>109</v>
      </c>
      <c r="Q517" s="12" t="s">
        <v>1720</v>
      </c>
      <c r="R517" s="12">
        <v>80</v>
      </c>
      <c r="S517" s="12" t="s">
        <v>4557</v>
      </c>
      <c r="T517" s="12" t="s">
        <v>4555</v>
      </c>
      <c r="U517" s="12" t="s">
        <v>142</v>
      </c>
      <c r="V517" s="12" t="s">
        <v>74</v>
      </c>
      <c r="W517" s="12" t="s">
        <v>160</v>
      </c>
      <c r="X517" s="12"/>
      <c r="Y517" s="12"/>
      <c r="Z517" s="12"/>
      <c r="AA517" s="257" t="s">
        <v>4556</v>
      </c>
      <c r="AB517" s="12" t="s">
        <v>114</v>
      </c>
      <c r="AC517" s="266" t="str">
        <f>HYPERLINK("https://gcsvt.ru/svetodiodnyie-svetilniki/svt-str-mpro-32w-trio90-s/","Ссылка")</f>
        <v>Ссылка</v>
      </c>
      <c r="AD517" s="167">
        <v>14082</v>
      </c>
    </row>
    <row r="518" spans="1:30" s="161" customFormat="1" ht="39.950000000000003" hidden="1" customHeight="1" outlineLevel="2" x14ac:dyDescent="0.25">
      <c r="A518" s="171"/>
      <c r="B518" s="21" t="s">
        <v>254</v>
      </c>
      <c r="C518" s="159" t="s">
        <v>4541</v>
      </c>
      <c r="D518" s="12">
        <v>14970</v>
      </c>
      <c r="E518" s="12">
        <v>93</v>
      </c>
      <c r="F518" s="12">
        <v>160</v>
      </c>
      <c r="G518" s="12" t="s">
        <v>4705</v>
      </c>
      <c r="H518" s="12" t="s">
        <v>138</v>
      </c>
      <c r="I518" s="12">
        <v>67</v>
      </c>
      <c r="J518" s="12" t="s">
        <v>105</v>
      </c>
      <c r="K518" s="12" t="s">
        <v>106</v>
      </c>
      <c r="L518" s="12" t="s">
        <v>3380</v>
      </c>
      <c r="M518" s="12" t="s">
        <v>4553</v>
      </c>
      <c r="N518" s="12" t="s">
        <v>108</v>
      </c>
      <c r="O518" s="12" t="s">
        <v>139</v>
      </c>
      <c r="P518" s="12" t="s">
        <v>109</v>
      </c>
      <c r="Q518" s="12" t="s">
        <v>1720</v>
      </c>
      <c r="R518" s="12">
        <v>80</v>
      </c>
      <c r="S518" s="12" t="s">
        <v>4557</v>
      </c>
      <c r="T518" s="12" t="s">
        <v>4555</v>
      </c>
      <c r="U518" s="12" t="s">
        <v>142</v>
      </c>
      <c r="V518" s="12" t="s">
        <v>74</v>
      </c>
      <c r="W518" s="12" t="s">
        <v>160</v>
      </c>
      <c r="X518" s="12"/>
      <c r="Y518" s="12"/>
      <c r="Z518" s="12"/>
      <c r="AA518" s="257" t="s">
        <v>4556</v>
      </c>
      <c r="AB518" s="12" t="s">
        <v>114</v>
      </c>
      <c r="AC518" s="266" t="str">
        <f>HYPERLINK("https://gcsvt.ru/svetodiodnyie-svetilniki/svt-str-mpro-32w-trio-c/","Ссылка")</f>
        <v>Ссылка</v>
      </c>
      <c r="AD518" s="167">
        <v>14082</v>
      </c>
    </row>
    <row r="519" spans="1:30" s="161" customFormat="1" ht="39.950000000000003" hidden="1" customHeight="1" outlineLevel="2" x14ac:dyDescent="0.25">
      <c r="A519" s="171"/>
      <c r="B519" s="21" t="s">
        <v>254</v>
      </c>
      <c r="C519" s="159" t="s">
        <v>3899</v>
      </c>
      <c r="D519" s="12">
        <v>15580</v>
      </c>
      <c r="E519" s="12">
        <v>96</v>
      </c>
      <c r="F519" s="12">
        <v>162</v>
      </c>
      <c r="G519" s="12" t="s">
        <v>3920</v>
      </c>
      <c r="H519" s="12" t="s">
        <v>138</v>
      </c>
      <c r="I519" s="12">
        <v>67</v>
      </c>
      <c r="J519" s="12" t="s">
        <v>105</v>
      </c>
      <c r="K519" s="12" t="s">
        <v>106</v>
      </c>
      <c r="L519" s="12" t="s">
        <v>3380</v>
      </c>
      <c r="M519" s="12" t="s">
        <v>4553</v>
      </c>
      <c r="N519" s="12" t="s">
        <v>108</v>
      </c>
      <c r="O519" s="12" t="s">
        <v>139</v>
      </c>
      <c r="P519" s="12" t="s">
        <v>109</v>
      </c>
      <c r="Q519" s="12" t="s">
        <v>1720</v>
      </c>
      <c r="R519" s="12">
        <v>80</v>
      </c>
      <c r="S519" s="12" t="s">
        <v>4558</v>
      </c>
      <c r="T519" s="12" t="s">
        <v>4555</v>
      </c>
      <c r="U519" s="12" t="s">
        <v>142</v>
      </c>
      <c r="V519" s="12" t="s">
        <v>74</v>
      </c>
      <c r="W519" s="12" t="s">
        <v>160</v>
      </c>
      <c r="X519" s="12"/>
      <c r="Y519" s="12"/>
      <c r="Z519" s="12"/>
      <c r="AA519" s="257" t="s">
        <v>4556</v>
      </c>
      <c r="AB519" s="12" t="s">
        <v>114</v>
      </c>
      <c r="AC519" s="266" t="str">
        <f>HYPERLINK("https://gcsvt.ru/svetodiodnyie-svetilniki/svt-str-mpro-48w-duo-c/","Ссылка")</f>
        <v>Ссылка</v>
      </c>
      <c r="AD519" s="167">
        <v>9874</v>
      </c>
    </row>
    <row r="520" spans="1:30" s="161" customFormat="1" ht="39.950000000000003" hidden="1" customHeight="1" outlineLevel="2" x14ac:dyDescent="0.25">
      <c r="A520" s="171"/>
      <c r="B520" s="21" t="s">
        <v>254</v>
      </c>
      <c r="C520" s="159" t="s">
        <v>4544</v>
      </c>
      <c r="D520" s="12">
        <v>15580</v>
      </c>
      <c r="E520" s="12">
        <v>96</v>
      </c>
      <c r="F520" s="12">
        <v>162</v>
      </c>
      <c r="G520" s="12" t="s">
        <v>4708</v>
      </c>
      <c r="H520" s="12" t="s">
        <v>138</v>
      </c>
      <c r="I520" s="12">
        <v>67</v>
      </c>
      <c r="J520" s="12" t="s">
        <v>105</v>
      </c>
      <c r="K520" s="12" t="s">
        <v>106</v>
      </c>
      <c r="L520" s="12" t="s">
        <v>3380</v>
      </c>
      <c r="M520" s="12" t="s">
        <v>4553</v>
      </c>
      <c r="N520" s="12" t="s">
        <v>108</v>
      </c>
      <c r="O520" s="12" t="s">
        <v>139</v>
      </c>
      <c r="P520" s="12" t="s">
        <v>109</v>
      </c>
      <c r="Q520" s="12" t="s">
        <v>1720</v>
      </c>
      <c r="R520" s="12">
        <v>80</v>
      </c>
      <c r="S520" s="12" t="s">
        <v>4558</v>
      </c>
      <c r="T520" s="12" t="s">
        <v>4555</v>
      </c>
      <c r="U520" s="12" t="s">
        <v>142</v>
      </c>
      <c r="V520" s="12" t="s">
        <v>74</v>
      </c>
      <c r="W520" s="12" t="s">
        <v>112</v>
      </c>
      <c r="X520" s="12"/>
      <c r="Y520" s="12"/>
      <c r="Z520" s="12"/>
      <c r="AA520" s="257" t="s">
        <v>4556</v>
      </c>
      <c r="AB520" s="12" t="s">
        <v>114</v>
      </c>
      <c r="AC520" s="266" t="str">
        <f>HYPERLINK("https://gcsvt.ru/svetodiodnyie-svetilniki/svt-str-mpro-48w-duo-krem-m/","Ссылка")</f>
        <v>Ссылка</v>
      </c>
      <c r="AD520" s="167">
        <v>9874</v>
      </c>
    </row>
    <row r="521" spans="1:30" s="161" customFormat="1" ht="39.950000000000003" hidden="1" customHeight="1" outlineLevel="2" x14ac:dyDescent="0.25">
      <c r="A521" s="171"/>
      <c r="B521" s="21" t="s">
        <v>254</v>
      </c>
      <c r="C521" s="159" t="s">
        <v>4532</v>
      </c>
      <c r="D521" s="12">
        <v>15580</v>
      </c>
      <c r="E521" s="12">
        <v>96</v>
      </c>
      <c r="F521" s="12">
        <v>162</v>
      </c>
      <c r="G521" s="12" t="s">
        <v>4559</v>
      </c>
      <c r="H521" s="12" t="s">
        <v>138</v>
      </c>
      <c r="I521" s="12">
        <v>67</v>
      </c>
      <c r="J521" s="12" t="s">
        <v>105</v>
      </c>
      <c r="K521" s="12" t="s">
        <v>106</v>
      </c>
      <c r="L521" s="12" t="s">
        <v>3380</v>
      </c>
      <c r="M521" s="12" t="s">
        <v>4553</v>
      </c>
      <c r="N521" s="12" t="s">
        <v>108</v>
      </c>
      <c r="O521" s="12" t="s">
        <v>139</v>
      </c>
      <c r="P521" s="12" t="s">
        <v>109</v>
      </c>
      <c r="Q521" s="12" t="s">
        <v>1720</v>
      </c>
      <c r="R521" s="12">
        <v>80</v>
      </c>
      <c r="S521" s="12" t="s">
        <v>4558</v>
      </c>
      <c r="T521" s="12" t="s">
        <v>4555</v>
      </c>
      <c r="U521" s="12" t="s">
        <v>142</v>
      </c>
      <c r="V521" s="12" t="s">
        <v>74</v>
      </c>
      <c r="W521" s="12" t="s">
        <v>257</v>
      </c>
      <c r="X521" s="12"/>
      <c r="Y521" s="12"/>
      <c r="Z521" s="12"/>
      <c r="AA521" s="257" t="s">
        <v>4556</v>
      </c>
      <c r="AB521" s="12" t="s">
        <v>114</v>
      </c>
      <c r="AC521" s="266" t="str">
        <f>HYPERLINK("https://gcsvt.ru/svetodiodnyie-svetilniki/svt-str-mpro-48w-duo/","Ссылка")</f>
        <v>Ссылка</v>
      </c>
      <c r="AD521" s="167" t="s">
        <v>2859</v>
      </c>
    </row>
    <row r="522" spans="1:30" s="161" customFormat="1" ht="39.950000000000003" hidden="1" customHeight="1" outlineLevel="2" x14ac:dyDescent="0.25">
      <c r="A522" s="171"/>
      <c r="B522" s="21" t="s">
        <v>254</v>
      </c>
      <c r="C522" s="159" t="s">
        <v>4542</v>
      </c>
      <c r="D522" s="12">
        <v>15580</v>
      </c>
      <c r="E522" s="12">
        <v>96</v>
      </c>
      <c r="F522" s="12">
        <v>162</v>
      </c>
      <c r="G522" s="12" t="s">
        <v>4560</v>
      </c>
      <c r="H522" s="12" t="s">
        <v>641</v>
      </c>
      <c r="I522" s="12">
        <v>67</v>
      </c>
      <c r="J522" s="12" t="s">
        <v>105</v>
      </c>
      <c r="K522" s="12" t="s">
        <v>106</v>
      </c>
      <c r="L522" s="12" t="s">
        <v>3380</v>
      </c>
      <c r="M522" s="12" t="s">
        <v>4553</v>
      </c>
      <c r="N522" s="12" t="s">
        <v>108</v>
      </c>
      <c r="O522" s="12" t="s">
        <v>139</v>
      </c>
      <c r="P522" s="12" t="s">
        <v>109</v>
      </c>
      <c r="Q522" s="12" t="s">
        <v>1720</v>
      </c>
      <c r="R522" s="12">
        <v>80</v>
      </c>
      <c r="S522" s="12" t="s">
        <v>4558</v>
      </c>
      <c r="T522" s="12" t="s">
        <v>4555</v>
      </c>
      <c r="U522" s="12" t="s">
        <v>142</v>
      </c>
      <c r="V522" s="12" t="s">
        <v>74</v>
      </c>
      <c r="W522" s="12" t="s">
        <v>112</v>
      </c>
      <c r="X522" s="12"/>
      <c r="Y522" s="12"/>
      <c r="Z522" s="12"/>
      <c r="AA522" s="257" t="s">
        <v>4556</v>
      </c>
      <c r="AB522" s="12" t="s">
        <v>114</v>
      </c>
      <c r="AC522" s="266" t="str">
        <f>HYPERLINK("https://gcsvt.ru/svetodiodnyie-svetilniki/svt-str-mpro-48w-duo90/","Ссылка")</f>
        <v>Ссылка</v>
      </c>
      <c r="AD522" s="167">
        <v>9874</v>
      </c>
    </row>
    <row r="523" spans="1:30" s="161" customFormat="1" ht="39.950000000000003" hidden="1" customHeight="1" outlineLevel="2" x14ac:dyDescent="0.25">
      <c r="A523" s="171"/>
      <c r="B523" s="21" t="s">
        <v>254</v>
      </c>
      <c r="C523" s="159" t="s">
        <v>4543</v>
      </c>
      <c r="D523" s="12">
        <v>15580</v>
      </c>
      <c r="E523" s="12">
        <v>96</v>
      </c>
      <c r="F523" s="12">
        <v>162</v>
      </c>
      <c r="G523" s="12" t="s">
        <v>4709</v>
      </c>
      <c r="H523" s="12" t="s">
        <v>641</v>
      </c>
      <c r="I523" s="12">
        <v>67</v>
      </c>
      <c r="J523" s="12" t="s">
        <v>105</v>
      </c>
      <c r="K523" s="12" t="s">
        <v>106</v>
      </c>
      <c r="L523" s="12" t="s">
        <v>3380</v>
      </c>
      <c r="M523" s="12" t="s">
        <v>4553</v>
      </c>
      <c r="N523" s="12" t="s">
        <v>108</v>
      </c>
      <c r="O523" s="12" t="s">
        <v>139</v>
      </c>
      <c r="P523" s="12" t="s">
        <v>109</v>
      </c>
      <c r="Q523" s="12" t="s">
        <v>1720</v>
      </c>
      <c r="R523" s="12">
        <v>80</v>
      </c>
      <c r="S523" s="12" t="s">
        <v>4558</v>
      </c>
      <c r="T523" s="12" t="s">
        <v>4555</v>
      </c>
      <c r="U523" s="12" t="s">
        <v>142</v>
      </c>
      <c r="V523" s="12" t="s">
        <v>74</v>
      </c>
      <c r="W523" s="12" t="s">
        <v>160</v>
      </c>
      <c r="X523" s="12"/>
      <c r="Y523" s="12"/>
      <c r="Z523" s="12"/>
      <c r="AA523" s="257" t="s">
        <v>4556</v>
      </c>
      <c r="AB523" s="12" t="s">
        <v>114</v>
      </c>
      <c r="AC523" s="266" t="str">
        <f>HYPERLINK("https://gcsvt.ru/svetodiodnyie-svetilniki/svt-str-mpro-48w-duo90-c/","Ссылка")</f>
        <v>Ссылка</v>
      </c>
      <c r="AD523" s="167">
        <v>9874</v>
      </c>
    </row>
    <row r="524" spans="1:30" s="161" customFormat="1" ht="39.950000000000003" hidden="1" customHeight="1" outlineLevel="2" x14ac:dyDescent="0.25">
      <c r="A524" s="171"/>
      <c r="B524" s="21" t="s">
        <v>254</v>
      </c>
      <c r="C524" s="159" t="s">
        <v>4533</v>
      </c>
      <c r="D524" s="12">
        <v>23370</v>
      </c>
      <c r="E524" s="12">
        <v>144</v>
      </c>
      <c r="F524" s="12">
        <v>162</v>
      </c>
      <c r="G524" s="12" t="s">
        <v>4561</v>
      </c>
      <c r="H524" s="12" t="s">
        <v>138</v>
      </c>
      <c r="I524" s="12">
        <v>67</v>
      </c>
      <c r="J524" s="12" t="s">
        <v>105</v>
      </c>
      <c r="K524" s="12" t="s">
        <v>106</v>
      </c>
      <c r="L524" s="12" t="s">
        <v>3380</v>
      </c>
      <c r="M524" s="12" t="s">
        <v>4553</v>
      </c>
      <c r="N524" s="12" t="s">
        <v>108</v>
      </c>
      <c r="O524" s="12" t="s">
        <v>139</v>
      </c>
      <c r="P524" s="12" t="s">
        <v>109</v>
      </c>
      <c r="Q524" s="12" t="s">
        <v>1720</v>
      </c>
      <c r="R524" s="12">
        <v>80</v>
      </c>
      <c r="S524" s="12" t="s">
        <v>4562</v>
      </c>
      <c r="T524" s="12" t="s">
        <v>4555</v>
      </c>
      <c r="U524" s="12" t="s">
        <v>142</v>
      </c>
      <c r="V524" s="12" t="s">
        <v>74</v>
      </c>
      <c r="W524" s="12" t="s">
        <v>112</v>
      </c>
      <c r="X524" s="12"/>
      <c r="Y524" s="12"/>
      <c r="Z524" s="12"/>
      <c r="AA524" s="257" t="s">
        <v>4556</v>
      </c>
      <c r="AB524" s="12" t="s">
        <v>114</v>
      </c>
      <c r="AC524" s="266" t="str">
        <f>HYPERLINK("https://gcsvt.ru/svetodiodnyie-svetilniki/svt-str-mpro-48w-trio-krep-m/","Ссылка")</f>
        <v>Ссылка</v>
      </c>
      <c r="AD524" s="167">
        <v>14811</v>
      </c>
    </row>
    <row r="525" spans="1:30" s="161" customFormat="1" ht="46.5" hidden="1" customHeight="1" outlineLevel="2" x14ac:dyDescent="0.25">
      <c r="A525" s="171"/>
      <c r="B525" s="21" t="s">
        <v>254</v>
      </c>
      <c r="C525" s="159" t="s">
        <v>3984</v>
      </c>
      <c r="D525" s="12">
        <v>23370</v>
      </c>
      <c r="E525" s="12">
        <v>144</v>
      </c>
      <c r="F525" s="12">
        <v>162</v>
      </c>
      <c r="G525" s="12" t="s">
        <v>3985</v>
      </c>
      <c r="H525" s="12" t="s">
        <v>138</v>
      </c>
      <c r="I525" s="12">
        <v>67</v>
      </c>
      <c r="J525" s="12" t="s">
        <v>105</v>
      </c>
      <c r="K525" s="12" t="s">
        <v>106</v>
      </c>
      <c r="L525" s="12" t="s">
        <v>3380</v>
      </c>
      <c r="M525" s="12" t="s">
        <v>4553</v>
      </c>
      <c r="N525" s="12" t="s">
        <v>108</v>
      </c>
      <c r="O525" s="12" t="s">
        <v>139</v>
      </c>
      <c r="P525" s="12" t="s">
        <v>109</v>
      </c>
      <c r="Q525" s="12" t="s">
        <v>1720</v>
      </c>
      <c r="R525" s="12">
        <v>80</v>
      </c>
      <c r="S525" s="12" t="s">
        <v>4562</v>
      </c>
      <c r="T525" s="12" t="s">
        <v>4555</v>
      </c>
      <c r="U525" s="12" t="s">
        <v>142</v>
      </c>
      <c r="V525" s="12" t="s">
        <v>74</v>
      </c>
      <c r="W525" s="12" t="s">
        <v>257</v>
      </c>
      <c r="X525" s="12"/>
      <c r="Y525" s="12"/>
      <c r="Z525" s="12"/>
      <c r="AA525" s="257" t="s">
        <v>4556</v>
      </c>
      <c r="AB525" s="12" t="s">
        <v>114</v>
      </c>
      <c r="AC525" s="266" t="str">
        <f>HYPERLINK("https://gcsvt.ru/svetodiodnyie-svetilniki/svt-str-mpro-48w-trio/","Ссылка")</f>
        <v>Ссылка</v>
      </c>
      <c r="AD525" s="167" t="s">
        <v>2859</v>
      </c>
    </row>
    <row r="526" spans="1:30" s="161" customFormat="1" ht="39.950000000000003" hidden="1" customHeight="1" outlineLevel="2" x14ac:dyDescent="0.25">
      <c r="A526" s="171"/>
      <c r="B526" s="21" t="s">
        <v>254</v>
      </c>
      <c r="C526" s="159" t="s">
        <v>3986</v>
      </c>
      <c r="D526" s="12">
        <v>23370</v>
      </c>
      <c r="E526" s="12">
        <v>144</v>
      </c>
      <c r="F526" s="12">
        <v>162</v>
      </c>
      <c r="G526" s="12" t="s">
        <v>3987</v>
      </c>
      <c r="H526" s="12" t="s">
        <v>138</v>
      </c>
      <c r="I526" s="12">
        <v>67</v>
      </c>
      <c r="J526" s="12" t="s">
        <v>105</v>
      </c>
      <c r="K526" s="12" t="s">
        <v>106</v>
      </c>
      <c r="L526" s="12" t="s">
        <v>3380</v>
      </c>
      <c r="M526" s="12" t="s">
        <v>4553</v>
      </c>
      <c r="N526" s="12" t="s">
        <v>108</v>
      </c>
      <c r="O526" s="12" t="s">
        <v>139</v>
      </c>
      <c r="P526" s="12" t="s">
        <v>109</v>
      </c>
      <c r="Q526" s="12" t="s">
        <v>1720</v>
      </c>
      <c r="R526" s="12">
        <v>80</v>
      </c>
      <c r="S526" s="12" t="s">
        <v>4562</v>
      </c>
      <c r="T526" s="12" t="s">
        <v>4555</v>
      </c>
      <c r="U526" s="12" t="s">
        <v>142</v>
      </c>
      <c r="V526" s="12" t="s">
        <v>74</v>
      </c>
      <c r="W526" s="12" t="s">
        <v>160</v>
      </c>
      <c r="X526" s="12"/>
      <c r="Y526" s="12"/>
      <c r="Z526" s="12"/>
      <c r="AA526" s="257" t="s">
        <v>4556</v>
      </c>
      <c r="AB526" s="12" t="s">
        <v>114</v>
      </c>
      <c r="AC526" s="266" t="str">
        <f>HYPERLINK("https://gcsvt.ru/svetodiodnyie-svetilniki/svt-str-mpro-48w-trio-c/","Ссылка")</f>
        <v>Ссылка</v>
      </c>
      <c r="AD526" s="167">
        <v>14811</v>
      </c>
    </row>
    <row r="527" spans="1:30" s="161" customFormat="1" ht="39.950000000000003" hidden="1" customHeight="1" outlineLevel="2" x14ac:dyDescent="0.25">
      <c r="A527" s="171"/>
      <c r="B527" s="21" t="s">
        <v>254</v>
      </c>
      <c r="C527" s="159" t="s">
        <v>4551</v>
      </c>
      <c r="D527" s="12">
        <v>23370</v>
      </c>
      <c r="E527" s="12">
        <v>144</v>
      </c>
      <c r="F527" s="12">
        <v>162</v>
      </c>
      <c r="G527" s="12" t="s">
        <v>4710</v>
      </c>
      <c r="H527" s="12" t="s">
        <v>641</v>
      </c>
      <c r="I527" s="12">
        <v>67</v>
      </c>
      <c r="J527" s="12" t="s">
        <v>105</v>
      </c>
      <c r="K527" s="12" t="s">
        <v>106</v>
      </c>
      <c r="L527" s="12" t="s">
        <v>3380</v>
      </c>
      <c r="M527" s="12" t="s">
        <v>4553</v>
      </c>
      <c r="N527" s="12" t="s">
        <v>108</v>
      </c>
      <c r="O527" s="12" t="s">
        <v>139</v>
      </c>
      <c r="P527" s="12" t="s">
        <v>109</v>
      </c>
      <c r="Q527" s="12" t="s">
        <v>1720</v>
      </c>
      <c r="R527" s="12">
        <v>80</v>
      </c>
      <c r="S527" s="12" t="s">
        <v>4562</v>
      </c>
      <c r="T527" s="12" t="s">
        <v>4555</v>
      </c>
      <c r="U527" s="12" t="s">
        <v>142</v>
      </c>
      <c r="V527" s="12" t="s">
        <v>74</v>
      </c>
      <c r="W527" s="12" t="s">
        <v>112</v>
      </c>
      <c r="X527" s="12"/>
      <c r="Y527" s="12"/>
      <c r="Z527" s="12"/>
      <c r="AA527" s="257" t="s">
        <v>4556</v>
      </c>
      <c r="AB527" s="12" t="s">
        <v>114</v>
      </c>
      <c r="AC527" s="266" t="str">
        <f>HYPERLINK("https://gcsvt.ru/svetodiodnyie-svetilniki/svt-str-mpro-48w-trio90/","Ссылка")</f>
        <v>Ссылка</v>
      </c>
      <c r="AD527" s="167">
        <v>14811</v>
      </c>
    </row>
    <row r="528" spans="1:30" s="161" customFormat="1" ht="39.950000000000003" hidden="1" customHeight="1" outlineLevel="2" x14ac:dyDescent="0.25">
      <c r="A528" s="171"/>
      <c r="B528" s="21" t="s">
        <v>254</v>
      </c>
      <c r="C528" s="159" t="s">
        <v>4552</v>
      </c>
      <c r="D528" s="12">
        <v>23370</v>
      </c>
      <c r="E528" s="12">
        <v>144</v>
      </c>
      <c r="F528" s="12">
        <v>162</v>
      </c>
      <c r="G528" s="12" t="s">
        <v>4711</v>
      </c>
      <c r="H528" s="12" t="s">
        <v>641</v>
      </c>
      <c r="I528" s="12">
        <v>67</v>
      </c>
      <c r="J528" s="12" t="s">
        <v>105</v>
      </c>
      <c r="K528" s="12" t="s">
        <v>106</v>
      </c>
      <c r="L528" s="12" t="s">
        <v>3380</v>
      </c>
      <c r="M528" s="12" t="s">
        <v>4553</v>
      </c>
      <c r="N528" s="12" t="s">
        <v>108</v>
      </c>
      <c r="O528" s="12" t="s">
        <v>139</v>
      </c>
      <c r="P528" s="12" t="s">
        <v>109</v>
      </c>
      <c r="Q528" s="12" t="s">
        <v>1720</v>
      </c>
      <c r="R528" s="12">
        <v>80</v>
      </c>
      <c r="S528" s="12" t="s">
        <v>4562</v>
      </c>
      <c r="T528" s="12" t="s">
        <v>4555</v>
      </c>
      <c r="U528" s="12" t="s">
        <v>142</v>
      </c>
      <c r="V528" s="12" t="s">
        <v>74</v>
      </c>
      <c r="W528" s="12" t="s">
        <v>160</v>
      </c>
      <c r="X528" s="12"/>
      <c r="Y528" s="12"/>
      <c r="Z528" s="12"/>
      <c r="AA528" s="257" t="s">
        <v>4556</v>
      </c>
      <c r="AB528" s="12" t="s">
        <v>114</v>
      </c>
      <c r="AC528" s="266" t="str">
        <f>HYPERLINK("https://gcsvt.ru/svetodiodnyie-svetilniki/svt-str-mpro-48w-trio90-c/","Ссылка")</f>
        <v>Ссылка</v>
      </c>
      <c r="AD528" s="167">
        <v>14811</v>
      </c>
    </row>
    <row r="529" spans="1:30" s="161" customFormat="1" ht="39.950000000000003" hidden="1" customHeight="1" outlineLevel="2" x14ac:dyDescent="0.25">
      <c r="A529" s="171"/>
      <c r="B529" s="21" t="s">
        <v>254</v>
      </c>
      <c r="C529" s="159" t="s">
        <v>255</v>
      </c>
      <c r="D529" s="12">
        <v>19880</v>
      </c>
      <c r="E529" s="12">
        <v>120</v>
      </c>
      <c r="F529" s="12">
        <v>165</v>
      </c>
      <c r="G529" s="12" t="s">
        <v>256</v>
      </c>
      <c r="H529" s="12" t="s">
        <v>138</v>
      </c>
      <c r="I529" s="12">
        <v>67</v>
      </c>
      <c r="J529" s="12" t="s">
        <v>105</v>
      </c>
      <c r="K529" s="12" t="s">
        <v>106</v>
      </c>
      <c r="L529" s="12" t="s">
        <v>3380</v>
      </c>
      <c r="M529" s="12" t="s">
        <v>4553</v>
      </c>
      <c r="N529" s="12" t="s">
        <v>108</v>
      </c>
      <c r="O529" s="12" t="s">
        <v>139</v>
      </c>
      <c r="P529" s="12" t="s">
        <v>109</v>
      </c>
      <c r="Q529" s="12" t="s">
        <v>1720</v>
      </c>
      <c r="R529" s="12">
        <v>80</v>
      </c>
      <c r="S529" s="12" t="s">
        <v>4563</v>
      </c>
      <c r="T529" s="12" t="s">
        <v>4555</v>
      </c>
      <c r="U529" s="12" t="s">
        <v>73</v>
      </c>
      <c r="V529" s="12" t="s">
        <v>74</v>
      </c>
      <c r="W529" s="12" t="s">
        <v>257</v>
      </c>
      <c r="X529" s="12"/>
      <c r="Y529" s="12"/>
      <c r="Z529" s="12"/>
      <c r="AA529" s="257" t="s">
        <v>77</v>
      </c>
      <c r="AB529" s="12" t="s">
        <v>114</v>
      </c>
      <c r="AC529" s="266" t="str">
        <f>HYPERLINK("https://gcsvt.ru/svetodiodnyie-svetilniki/svt-str-mpro-61w-duo/","Ссылка")</f>
        <v>Ссылка</v>
      </c>
      <c r="AD529" s="167">
        <v>10491</v>
      </c>
    </row>
    <row r="530" spans="1:30" s="161" customFormat="1" ht="39.950000000000003" hidden="1" customHeight="1" outlineLevel="2" x14ac:dyDescent="0.25">
      <c r="A530" s="171"/>
      <c r="B530" s="21" t="s">
        <v>254</v>
      </c>
      <c r="C530" s="159" t="s">
        <v>3898</v>
      </c>
      <c r="D530" s="12">
        <v>19880</v>
      </c>
      <c r="E530" s="12">
        <v>120</v>
      </c>
      <c r="F530" s="12">
        <v>165</v>
      </c>
      <c r="G530" s="12" t="s">
        <v>3921</v>
      </c>
      <c r="H530" s="12" t="s">
        <v>138</v>
      </c>
      <c r="I530" s="12">
        <v>67</v>
      </c>
      <c r="J530" s="12" t="s">
        <v>105</v>
      </c>
      <c r="K530" s="12" t="s">
        <v>106</v>
      </c>
      <c r="L530" s="12" t="s">
        <v>3380</v>
      </c>
      <c r="M530" s="12" t="s">
        <v>4553</v>
      </c>
      <c r="N530" s="12" t="s">
        <v>108</v>
      </c>
      <c r="O530" s="12" t="s">
        <v>139</v>
      </c>
      <c r="P530" s="12" t="s">
        <v>109</v>
      </c>
      <c r="Q530" s="12" t="s">
        <v>1720</v>
      </c>
      <c r="R530" s="12">
        <v>80</v>
      </c>
      <c r="S530" s="12" t="s">
        <v>4563</v>
      </c>
      <c r="T530" s="12" t="s">
        <v>4555</v>
      </c>
      <c r="U530" s="12" t="s">
        <v>73</v>
      </c>
      <c r="V530" s="12" t="s">
        <v>74</v>
      </c>
      <c r="W530" s="12" t="s">
        <v>160</v>
      </c>
      <c r="X530" s="12"/>
      <c r="Y530" s="12"/>
      <c r="Z530" s="12"/>
      <c r="AA530" s="257" t="s">
        <v>77</v>
      </c>
      <c r="AB530" s="12" t="s">
        <v>114</v>
      </c>
      <c r="AC530" s="266" t="str">
        <f>HYPERLINK("https://gcsvt.ru/svetodiodnyie-svetilniki/svt-str-mpro-61w-duo-c/","Ссылка")</f>
        <v>Ссылка</v>
      </c>
      <c r="AD530" s="167">
        <v>10491</v>
      </c>
    </row>
    <row r="531" spans="1:30" s="161" customFormat="1" ht="39.950000000000003" hidden="1" customHeight="1" outlineLevel="2" x14ac:dyDescent="0.25">
      <c r="A531" s="171"/>
      <c r="B531" s="21" t="s">
        <v>254</v>
      </c>
      <c r="C531" s="159" t="s">
        <v>4545</v>
      </c>
      <c r="D531" s="12">
        <v>19880</v>
      </c>
      <c r="E531" s="12">
        <v>120</v>
      </c>
      <c r="F531" s="12">
        <v>165</v>
      </c>
      <c r="G531" s="12" t="s">
        <v>4564</v>
      </c>
      <c r="H531" s="12" t="s">
        <v>641</v>
      </c>
      <c r="I531" s="12">
        <v>67</v>
      </c>
      <c r="J531" s="12" t="s">
        <v>105</v>
      </c>
      <c r="K531" s="12" t="s">
        <v>106</v>
      </c>
      <c r="L531" s="12" t="s">
        <v>3380</v>
      </c>
      <c r="M531" s="12" t="s">
        <v>4553</v>
      </c>
      <c r="N531" s="12" t="s">
        <v>108</v>
      </c>
      <c r="O531" s="12" t="s">
        <v>139</v>
      </c>
      <c r="P531" s="12" t="s">
        <v>109</v>
      </c>
      <c r="Q531" s="12" t="s">
        <v>1720</v>
      </c>
      <c r="R531" s="12">
        <v>80</v>
      </c>
      <c r="S531" s="12" t="s">
        <v>4563</v>
      </c>
      <c r="T531" s="12" t="s">
        <v>4555</v>
      </c>
      <c r="U531" s="12" t="s">
        <v>73</v>
      </c>
      <c r="V531" s="12" t="s">
        <v>74</v>
      </c>
      <c r="W531" s="12" t="s">
        <v>112</v>
      </c>
      <c r="X531" s="12"/>
      <c r="Y531" s="12"/>
      <c r="Z531" s="12"/>
      <c r="AA531" s="257" t="s">
        <v>77</v>
      </c>
      <c r="AB531" s="12" t="s">
        <v>114</v>
      </c>
      <c r="AC531" s="266" t="str">
        <f>HYPERLINK("https://gcsvt.ru/svetodiodnyie-svetilniki/svt-str-mpro-61w-duo90/","Ссылка")</f>
        <v>Ссылка</v>
      </c>
      <c r="AD531" s="167">
        <v>10491</v>
      </c>
    </row>
    <row r="532" spans="1:30" s="161" customFormat="1" ht="39.950000000000003" hidden="1" customHeight="1" outlineLevel="2" x14ac:dyDescent="0.25">
      <c r="A532" s="171"/>
      <c r="B532" s="21" t="s">
        <v>254</v>
      </c>
      <c r="C532" s="159" t="s">
        <v>4546</v>
      </c>
      <c r="D532" s="12">
        <v>19880</v>
      </c>
      <c r="E532" s="12">
        <v>120</v>
      </c>
      <c r="F532" s="12">
        <v>165</v>
      </c>
      <c r="G532" s="12" t="s">
        <v>4712</v>
      </c>
      <c r="H532" s="12" t="s">
        <v>641</v>
      </c>
      <c r="I532" s="12">
        <v>67</v>
      </c>
      <c r="J532" s="12" t="s">
        <v>105</v>
      </c>
      <c r="K532" s="12" t="s">
        <v>106</v>
      </c>
      <c r="L532" s="12" t="s">
        <v>3380</v>
      </c>
      <c r="M532" s="12" t="s">
        <v>4553</v>
      </c>
      <c r="N532" s="12" t="s">
        <v>108</v>
      </c>
      <c r="O532" s="12" t="s">
        <v>139</v>
      </c>
      <c r="P532" s="12" t="s">
        <v>109</v>
      </c>
      <c r="Q532" s="12" t="s">
        <v>1720</v>
      </c>
      <c r="R532" s="12">
        <v>80</v>
      </c>
      <c r="S532" s="12" t="s">
        <v>4563</v>
      </c>
      <c r="T532" s="12" t="s">
        <v>4555</v>
      </c>
      <c r="U532" s="12" t="s">
        <v>73</v>
      </c>
      <c r="V532" s="12" t="s">
        <v>74</v>
      </c>
      <c r="W532" s="12" t="s">
        <v>160</v>
      </c>
      <c r="X532" s="12"/>
      <c r="Y532" s="12"/>
      <c r="Z532" s="12"/>
      <c r="AA532" s="257" t="s">
        <v>77</v>
      </c>
      <c r="AB532" s="12" t="s">
        <v>114</v>
      </c>
      <c r="AC532" s="266" t="str">
        <f>HYPERLINK("https://gcsvt.ru/svetodiodnyie-svetilniki/svt-str-mpro-61w-duo90-c/","Ссылка")</f>
        <v>Ссылка</v>
      </c>
      <c r="AD532" s="167">
        <v>10491</v>
      </c>
    </row>
    <row r="533" spans="1:30" s="161" customFormat="1" ht="39.950000000000003" hidden="1" customHeight="1" outlineLevel="2" x14ac:dyDescent="0.25">
      <c r="A533" s="171"/>
      <c r="B533" s="21" t="s">
        <v>254</v>
      </c>
      <c r="C533" s="159" t="s">
        <v>259</v>
      </c>
      <c r="D533" s="12">
        <v>29820</v>
      </c>
      <c r="E533" s="12">
        <v>180</v>
      </c>
      <c r="F533" s="12">
        <v>165</v>
      </c>
      <c r="G533" s="12" t="s">
        <v>260</v>
      </c>
      <c r="H533" s="12" t="s">
        <v>138</v>
      </c>
      <c r="I533" s="12">
        <v>67</v>
      </c>
      <c r="J533" s="12" t="s">
        <v>105</v>
      </c>
      <c r="K533" s="12" t="s">
        <v>106</v>
      </c>
      <c r="L533" s="12" t="s">
        <v>3380</v>
      </c>
      <c r="M533" s="12" t="s">
        <v>4553</v>
      </c>
      <c r="N533" s="12" t="s">
        <v>108</v>
      </c>
      <c r="O533" s="12" t="s">
        <v>139</v>
      </c>
      <c r="P533" s="12" t="s">
        <v>109</v>
      </c>
      <c r="Q533" s="12" t="s">
        <v>1720</v>
      </c>
      <c r="R533" s="12">
        <v>80</v>
      </c>
      <c r="S533" s="12" t="s">
        <v>4565</v>
      </c>
      <c r="T533" s="12" t="s">
        <v>4555</v>
      </c>
      <c r="U533" s="12" t="s">
        <v>73</v>
      </c>
      <c r="V533" s="12" t="s">
        <v>74</v>
      </c>
      <c r="W533" s="12" t="s">
        <v>257</v>
      </c>
      <c r="X533" s="12"/>
      <c r="Y533" s="12"/>
      <c r="Z533" s="12"/>
      <c r="AA533" s="257" t="s">
        <v>77</v>
      </c>
      <c r="AB533" s="12" t="s">
        <v>114</v>
      </c>
      <c r="AC533" s="266" t="str">
        <f>HYPERLINK("https://gcsvt.ru/svetodiodnyie-svetilniki/svt-str-mpro-61w-trio/","Ссылка")</f>
        <v>Ссылка</v>
      </c>
      <c r="AD533" s="167">
        <v>15737</v>
      </c>
    </row>
    <row r="534" spans="1:30" s="161" customFormat="1" ht="39.950000000000003" hidden="1" customHeight="1" outlineLevel="2" x14ac:dyDescent="0.25">
      <c r="A534" s="171"/>
      <c r="B534" s="21" t="s">
        <v>254</v>
      </c>
      <c r="C534" s="80" t="s">
        <v>4566</v>
      </c>
      <c r="D534" s="12">
        <v>29820</v>
      </c>
      <c r="E534" s="12">
        <v>180</v>
      </c>
      <c r="F534" s="12">
        <v>165</v>
      </c>
      <c r="G534" s="12" t="s">
        <v>4567</v>
      </c>
      <c r="H534" s="12" t="s">
        <v>138</v>
      </c>
      <c r="I534" s="12">
        <v>67</v>
      </c>
      <c r="J534" s="12" t="s">
        <v>105</v>
      </c>
      <c r="K534" s="12" t="s">
        <v>106</v>
      </c>
      <c r="L534" s="12" t="s">
        <v>3380</v>
      </c>
      <c r="M534" s="12" t="s">
        <v>4553</v>
      </c>
      <c r="N534" s="12" t="s">
        <v>108</v>
      </c>
      <c r="O534" s="12" t="s">
        <v>139</v>
      </c>
      <c r="P534" s="12" t="s">
        <v>109</v>
      </c>
      <c r="Q534" s="12" t="s">
        <v>1720</v>
      </c>
      <c r="R534" s="12">
        <v>80</v>
      </c>
      <c r="S534" s="12" t="s">
        <v>4565</v>
      </c>
      <c r="T534" s="12" t="s">
        <v>4555</v>
      </c>
      <c r="U534" s="12" t="s">
        <v>73</v>
      </c>
      <c r="V534" s="12" t="s">
        <v>74</v>
      </c>
      <c r="W534" s="12" t="s">
        <v>160</v>
      </c>
      <c r="X534" s="12"/>
      <c r="Y534" s="12"/>
      <c r="Z534" s="12"/>
      <c r="AA534" s="257" t="s">
        <v>77</v>
      </c>
      <c r="AB534" s="12" t="s">
        <v>114</v>
      </c>
      <c r="AC534" s="266" t="str">
        <f>HYPERLINK("https://gcsvt.ru/svetodiodnyie-svetilniki/svt-str-mpro-61w-trio-c/","Ссылка")</f>
        <v>Ссылка</v>
      </c>
      <c r="AD534" s="167">
        <v>15737</v>
      </c>
    </row>
    <row r="535" spans="1:30" s="161" customFormat="1" ht="39.950000000000003" hidden="1" customHeight="1" outlineLevel="2" x14ac:dyDescent="0.25">
      <c r="A535" s="171"/>
      <c r="B535" s="21" t="s">
        <v>254</v>
      </c>
      <c r="C535" s="159" t="s">
        <v>4547</v>
      </c>
      <c r="D535" s="12">
        <v>29820</v>
      </c>
      <c r="E535" s="12">
        <v>180</v>
      </c>
      <c r="F535" s="12">
        <v>165</v>
      </c>
      <c r="G535" s="12" t="s">
        <v>4713</v>
      </c>
      <c r="H535" s="12" t="s">
        <v>641</v>
      </c>
      <c r="I535" s="12">
        <v>67</v>
      </c>
      <c r="J535" s="12" t="s">
        <v>105</v>
      </c>
      <c r="K535" s="12" t="s">
        <v>106</v>
      </c>
      <c r="L535" s="12" t="s">
        <v>3380</v>
      </c>
      <c r="M535" s="12" t="s">
        <v>4553</v>
      </c>
      <c r="N535" s="12" t="s">
        <v>108</v>
      </c>
      <c r="O535" s="12" t="s">
        <v>139</v>
      </c>
      <c r="P535" s="12" t="s">
        <v>109</v>
      </c>
      <c r="Q535" s="12" t="s">
        <v>1720</v>
      </c>
      <c r="R535" s="12">
        <v>80</v>
      </c>
      <c r="S535" s="12" t="s">
        <v>4565</v>
      </c>
      <c r="T535" s="12" t="s">
        <v>4555</v>
      </c>
      <c r="U535" s="12" t="s">
        <v>73</v>
      </c>
      <c r="V535" s="12" t="s">
        <v>74</v>
      </c>
      <c r="W535" s="12" t="s">
        <v>112</v>
      </c>
      <c r="X535" s="12"/>
      <c r="Y535" s="12"/>
      <c r="Z535" s="12"/>
      <c r="AA535" s="257" t="s">
        <v>77</v>
      </c>
      <c r="AB535" s="12" t="s">
        <v>114</v>
      </c>
      <c r="AC535" s="266" t="str">
        <f>HYPERLINK("https://gcsvt.ru/svetodiodnyie-svetilniki/svt-str-mpro-61w-trio90/","Ссылка")</f>
        <v>Ссылка</v>
      </c>
      <c r="AD535" s="167">
        <v>15737</v>
      </c>
    </row>
    <row r="536" spans="1:30" s="161" customFormat="1" ht="39.950000000000003" hidden="1" customHeight="1" outlineLevel="2" x14ac:dyDescent="0.25">
      <c r="A536" s="171"/>
      <c r="B536" s="21" t="s">
        <v>254</v>
      </c>
      <c r="C536" s="159" t="s">
        <v>4548</v>
      </c>
      <c r="D536" s="12">
        <v>29820</v>
      </c>
      <c r="E536" s="12">
        <v>180</v>
      </c>
      <c r="F536" s="12">
        <v>165</v>
      </c>
      <c r="G536" s="12" t="s">
        <v>4714</v>
      </c>
      <c r="H536" s="12" t="s">
        <v>641</v>
      </c>
      <c r="I536" s="12">
        <v>67</v>
      </c>
      <c r="J536" s="12" t="s">
        <v>105</v>
      </c>
      <c r="K536" s="12" t="s">
        <v>106</v>
      </c>
      <c r="L536" s="12" t="s">
        <v>3380</v>
      </c>
      <c r="M536" s="12" t="s">
        <v>4553</v>
      </c>
      <c r="N536" s="12" t="s">
        <v>108</v>
      </c>
      <c r="O536" s="12" t="s">
        <v>139</v>
      </c>
      <c r="P536" s="12" t="s">
        <v>109</v>
      </c>
      <c r="Q536" s="12" t="s">
        <v>1720</v>
      </c>
      <c r="R536" s="12">
        <v>80</v>
      </c>
      <c r="S536" s="12" t="s">
        <v>4565</v>
      </c>
      <c r="T536" s="12" t="s">
        <v>4555</v>
      </c>
      <c r="U536" s="12" t="s">
        <v>73</v>
      </c>
      <c r="V536" s="12" t="s">
        <v>74</v>
      </c>
      <c r="W536" s="12" t="s">
        <v>160</v>
      </c>
      <c r="X536" s="12"/>
      <c r="Y536" s="12"/>
      <c r="Z536" s="12"/>
      <c r="AA536" s="257" t="s">
        <v>77</v>
      </c>
      <c r="AB536" s="12" t="s">
        <v>114</v>
      </c>
      <c r="AC536" s="266" t="str">
        <f>HYPERLINK("https://gcsvt.ru/svetodiodnyie-svetilniki/svt-str-mpro-61w-trio90-c/","Ссылка")</f>
        <v>Ссылка</v>
      </c>
      <c r="AD536" s="167">
        <v>15737</v>
      </c>
    </row>
    <row r="537" spans="1:30" s="161" customFormat="1" ht="39.950000000000003" hidden="1" customHeight="1" outlineLevel="2" x14ac:dyDescent="0.25">
      <c r="A537" s="171"/>
      <c r="B537" s="21" t="s">
        <v>254</v>
      </c>
      <c r="C537" s="159" t="s">
        <v>263</v>
      </c>
      <c r="D537" s="161">
        <v>39760</v>
      </c>
      <c r="E537" s="161">
        <v>238</v>
      </c>
      <c r="F537" s="161">
        <v>167</v>
      </c>
      <c r="G537" s="161" t="s">
        <v>264</v>
      </c>
      <c r="H537" s="161" t="s">
        <v>138</v>
      </c>
      <c r="I537" s="161">
        <v>67</v>
      </c>
      <c r="J537" s="161" t="s">
        <v>105</v>
      </c>
      <c r="K537" s="21" t="s">
        <v>106</v>
      </c>
      <c r="L537" s="161" t="s">
        <v>3380</v>
      </c>
      <c r="M537" s="21" t="s">
        <v>107</v>
      </c>
      <c r="N537" s="161" t="s">
        <v>108</v>
      </c>
      <c r="O537" s="21" t="s">
        <v>139</v>
      </c>
      <c r="P537" s="161" t="s">
        <v>109</v>
      </c>
      <c r="Q537" s="21" t="s">
        <v>70</v>
      </c>
      <c r="R537" s="161">
        <v>80</v>
      </c>
      <c r="S537" s="161" t="s">
        <v>265</v>
      </c>
      <c r="T537" s="161" t="s">
        <v>141</v>
      </c>
      <c r="U537" s="161" t="s">
        <v>73</v>
      </c>
      <c r="V537" s="21" t="s">
        <v>74</v>
      </c>
      <c r="W537" s="21" t="s">
        <v>257</v>
      </c>
      <c r="X537" s="161" t="s">
        <v>266</v>
      </c>
      <c r="Y537" s="161">
        <v>0.03</v>
      </c>
      <c r="Z537" s="161">
        <v>10</v>
      </c>
      <c r="AA537" s="161" t="s">
        <v>77</v>
      </c>
      <c r="AB537" s="161" t="s">
        <v>114</v>
      </c>
      <c r="AC537" s="266" t="str">
        <f>HYPERLINK("https://gcsvt.ru/svetodiodnyie-svetilniki/svt-str-mpro-61w-quattro/","Ссылка")</f>
        <v>Ссылка</v>
      </c>
      <c r="AD537" s="167">
        <v>20982</v>
      </c>
    </row>
    <row r="538" spans="1:30" s="161" customFormat="1" ht="39.950000000000003" hidden="1" customHeight="1" outlineLevel="2" x14ac:dyDescent="0.25">
      <c r="A538" s="171"/>
      <c r="B538" s="21" t="s">
        <v>254</v>
      </c>
      <c r="C538" s="80" t="s">
        <v>4568</v>
      </c>
      <c r="D538" s="12">
        <v>26240</v>
      </c>
      <c r="E538" s="12">
        <v>160</v>
      </c>
      <c r="F538" s="12">
        <v>164</v>
      </c>
      <c r="G538" s="12" t="s">
        <v>4569</v>
      </c>
      <c r="H538" s="12" t="s">
        <v>138</v>
      </c>
      <c r="I538" s="12">
        <v>67</v>
      </c>
      <c r="J538" s="12" t="s">
        <v>105</v>
      </c>
      <c r="K538" s="12" t="s">
        <v>106</v>
      </c>
      <c r="L538" s="12" t="s">
        <v>3380</v>
      </c>
      <c r="M538" s="12" t="s">
        <v>4570</v>
      </c>
      <c r="N538" s="12" t="s">
        <v>67</v>
      </c>
      <c r="O538" s="12" t="s">
        <v>139</v>
      </c>
      <c r="P538" s="12" t="s">
        <v>109</v>
      </c>
      <c r="Q538" s="12" t="s">
        <v>1720</v>
      </c>
      <c r="R538" s="12">
        <v>80</v>
      </c>
      <c r="S538" s="12" t="s">
        <v>4571</v>
      </c>
      <c r="T538" s="12" t="s">
        <v>4555</v>
      </c>
      <c r="U538" s="12" t="s">
        <v>142</v>
      </c>
      <c r="V538" s="12" t="s">
        <v>74</v>
      </c>
      <c r="W538" s="12" t="s">
        <v>257</v>
      </c>
      <c r="X538" s="12"/>
      <c r="Y538" s="12"/>
      <c r="Z538" s="12"/>
      <c r="AA538" s="257" t="s">
        <v>3856</v>
      </c>
      <c r="AB538" s="12" t="s">
        <v>114</v>
      </c>
      <c r="AC538" s="266" t="str">
        <f>HYPERLINK("https://gcsvt.ru/svetodiodnyie-svetilniki/svt-str-mpro-80w-duo/","Ссылка")</f>
        <v>Ссылка</v>
      </c>
      <c r="AD538" s="167">
        <v>15297</v>
      </c>
    </row>
    <row r="539" spans="1:30" s="161" customFormat="1" ht="39.950000000000003" hidden="1" customHeight="1" outlineLevel="2" x14ac:dyDescent="0.25">
      <c r="A539" s="171"/>
      <c r="B539" s="21" t="s">
        <v>254</v>
      </c>
      <c r="C539" s="159" t="s">
        <v>4549</v>
      </c>
      <c r="D539" s="12">
        <v>26240</v>
      </c>
      <c r="E539" s="12">
        <v>160</v>
      </c>
      <c r="F539" s="12">
        <v>164</v>
      </c>
      <c r="G539" s="12" t="s">
        <v>4569</v>
      </c>
      <c r="H539" s="12" t="s">
        <v>138</v>
      </c>
      <c r="I539" s="12">
        <v>67</v>
      </c>
      <c r="J539" s="12" t="s">
        <v>105</v>
      </c>
      <c r="K539" s="12" t="s">
        <v>106</v>
      </c>
      <c r="L539" s="12" t="s">
        <v>3380</v>
      </c>
      <c r="M539" s="12" t="s">
        <v>4570</v>
      </c>
      <c r="N539" s="12" t="s">
        <v>67</v>
      </c>
      <c r="O539" s="12" t="s">
        <v>139</v>
      </c>
      <c r="P539" s="12" t="s">
        <v>109</v>
      </c>
      <c r="Q539" s="12" t="s">
        <v>1720</v>
      </c>
      <c r="R539" s="12">
        <v>80</v>
      </c>
      <c r="S539" s="12" t="s">
        <v>4571</v>
      </c>
      <c r="T539" s="12" t="s">
        <v>4555</v>
      </c>
      <c r="U539" s="12" t="s">
        <v>142</v>
      </c>
      <c r="V539" s="12" t="s">
        <v>74</v>
      </c>
      <c r="W539" s="12" t="s">
        <v>257</v>
      </c>
      <c r="X539" s="12"/>
      <c r="Y539" s="12"/>
      <c r="Z539" s="12"/>
      <c r="AA539" s="257" t="s">
        <v>3856</v>
      </c>
      <c r="AB539" s="12" t="s">
        <v>114</v>
      </c>
      <c r="AC539" s="266" t="str">
        <f>HYPERLINK("https://gcsvt.ru/svetodiodnyie-svetilniki/svt-str-mpro-80w-duo-s/","Ссылка")</f>
        <v>Ссылка</v>
      </c>
      <c r="AD539" s="167">
        <v>15297</v>
      </c>
    </row>
    <row r="540" spans="1:30" s="161" customFormat="1" ht="39.950000000000003" hidden="1" customHeight="1" outlineLevel="2" x14ac:dyDescent="0.25">
      <c r="A540" s="171"/>
      <c r="B540" s="21" t="s">
        <v>254</v>
      </c>
      <c r="C540" s="80" t="s">
        <v>4572</v>
      </c>
      <c r="D540" s="12">
        <v>39360</v>
      </c>
      <c r="E540" s="12">
        <v>240</v>
      </c>
      <c r="F540" s="12">
        <v>164</v>
      </c>
      <c r="G540" s="12" t="s">
        <v>4573</v>
      </c>
      <c r="H540" s="12" t="s">
        <v>138</v>
      </c>
      <c r="I540" s="12">
        <v>67</v>
      </c>
      <c r="J540" s="12" t="s">
        <v>105</v>
      </c>
      <c r="K540" s="12" t="s">
        <v>106</v>
      </c>
      <c r="L540" s="12" t="s">
        <v>3380</v>
      </c>
      <c r="M540" s="12" t="s">
        <v>4570</v>
      </c>
      <c r="N540" s="12" t="s">
        <v>67</v>
      </c>
      <c r="O540" s="12" t="s">
        <v>139</v>
      </c>
      <c r="P540" s="12" t="s">
        <v>109</v>
      </c>
      <c r="Q540" s="12" t="s">
        <v>1720</v>
      </c>
      <c r="R540" s="12">
        <v>80</v>
      </c>
      <c r="S540" s="12" t="s">
        <v>4574</v>
      </c>
      <c r="T540" s="12" t="s">
        <v>4555</v>
      </c>
      <c r="U540" s="12" t="s">
        <v>142</v>
      </c>
      <c r="V540" s="12" t="s">
        <v>74</v>
      </c>
      <c r="W540" s="12" t="s">
        <v>257</v>
      </c>
      <c r="X540" s="12"/>
      <c r="Y540" s="12"/>
      <c r="Z540" s="12"/>
      <c r="AA540" s="257" t="s">
        <v>3856</v>
      </c>
      <c r="AB540" s="12" t="s">
        <v>114</v>
      </c>
      <c r="AC540" s="266" t="str">
        <f>HYPERLINK("https://gcsvt.ru/svetodiodnyie-svetilniki/svt-str-mpro-80w-trio/","Ссылка")</f>
        <v>Ссылка</v>
      </c>
      <c r="AD540" s="167">
        <v>22920</v>
      </c>
    </row>
    <row r="541" spans="1:30" s="161" customFormat="1" ht="39.950000000000003" hidden="1" customHeight="1" outlineLevel="2" x14ac:dyDescent="0.25">
      <c r="A541" s="171"/>
      <c r="B541" s="21" t="s">
        <v>254</v>
      </c>
      <c r="C541" s="159" t="s">
        <v>4550</v>
      </c>
      <c r="D541" s="12">
        <v>39360</v>
      </c>
      <c r="E541" s="12">
        <v>240</v>
      </c>
      <c r="F541" s="12">
        <v>164</v>
      </c>
      <c r="G541" s="12" t="s">
        <v>4715</v>
      </c>
      <c r="H541" s="12" t="s">
        <v>138</v>
      </c>
      <c r="I541" s="12">
        <v>67</v>
      </c>
      <c r="J541" s="12" t="s">
        <v>105</v>
      </c>
      <c r="K541" s="12" t="s">
        <v>106</v>
      </c>
      <c r="L541" s="12" t="s">
        <v>3380</v>
      </c>
      <c r="M541" s="12" t="s">
        <v>4570</v>
      </c>
      <c r="N541" s="12" t="s">
        <v>67</v>
      </c>
      <c r="O541" s="12" t="s">
        <v>139</v>
      </c>
      <c r="P541" s="12" t="s">
        <v>109</v>
      </c>
      <c r="Q541" s="12" t="s">
        <v>1720</v>
      </c>
      <c r="R541" s="12">
        <v>80</v>
      </c>
      <c r="S541" s="12" t="s">
        <v>4574</v>
      </c>
      <c r="T541" s="12" t="s">
        <v>4555</v>
      </c>
      <c r="U541" s="12" t="s">
        <v>142</v>
      </c>
      <c r="V541" s="12" t="s">
        <v>74</v>
      </c>
      <c r="W541" s="12" t="s">
        <v>160</v>
      </c>
      <c r="X541" s="12"/>
      <c r="Y541" s="12"/>
      <c r="Z541" s="12"/>
      <c r="AA541" s="257" t="s">
        <v>3856</v>
      </c>
      <c r="AB541" s="12" t="s">
        <v>114</v>
      </c>
      <c r="AC541" s="266" t="str">
        <f>HYPERLINK("https://gcsvt.ru/svetodiodnyie-svetilniki/svt-str-mpro-80w-trio-c/","Ссылка")</f>
        <v>Ссылка</v>
      </c>
      <c r="AD541" s="167">
        <v>22920</v>
      </c>
    </row>
    <row r="542" spans="1:30" s="161" customFormat="1" ht="39.950000000000003" hidden="1" customHeight="1" outlineLevel="2" x14ac:dyDescent="0.25">
      <c r="A542" s="171"/>
      <c r="B542" s="21" t="s">
        <v>254</v>
      </c>
      <c r="C542" s="159" t="s">
        <v>267</v>
      </c>
      <c r="D542" s="161">
        <v>31380</v>
      </c>
      <c r="E542" s="161">
        <v>190</v>
      </c>
      <c r="F542" s="161">
        <v>165</v>
      </c>
      <c r="G542" s="161" t="s">
        <v>268</v>
      </c>
      <c r="H542" s="161" t="s">
        <v>138</v>
      </c>
      <c r="I542" s="161">
        <v>67</v>
      </c>
      <c r="J542" s="161" t="s">
        <v>105</v>
      </c>
      <c r="K542" s="21" t="s">
        <v>106</v>
      </c>
      <c r="L542" s="161" t="s">
        <v>3380</v>
      </c>
      <c r="M542" s="21" t="s">
        <v>157</v>
      </c>
      <c r="N542" s="161" t="s">
        <v>67</v>
      </c>
      <c r="O542" s="21" t="s">
        <v>139</v>
      </c>
      <c r="P542" s="161" t="s">
        <v>109</v>
      </c>
      <c r="Q542" s="21" t="s">
        <v>70</v>
      </c>
      <c r="R542" s="161">
        <v>80</v>
      </c>
      <c r="S542" s="161" t="s">
        <v>269</v>
      </c>
      <c r="T542" s="161" t="s">
        <v>141</v>
      </c>
      <c r="U542" s="161" t="s">
        <v>73</v>
      </c>
      <c r="V542" s="21" t="s">
        <v>74</v>
      </c>
      <c r="W542" s="21" t="s">
        <v>257</v>
      </c>
      <c r="X542" s="161" t="s">
        <v>270</v>
      </c>
      <c r="Y542" s="161">
        <v>0.01</v>
      </c>
      <c r="Z542" s="161">
        <v>6.5</v>
      </c>
      <c r="AA542" s="161" t="s">
        <v>77</v>
      </c>
      <c r="AB542" s="161" t="s">
        <v>114</v>
      </c>
      <c r="AC542" s="266" t="str">
        <f>HYPERLINK("https://gcsvt.ru/svetodiodnyie-svetilniki/svt-str-mpro-96w-duo/","Ссылка")</f>
        <v>Ссылка</v>
      </c>
      <c r="AD542" s="167">
        <v>16232</v>
      </c>
    </row>
    <row r="543" spans="1:30" s="161" customFormat="1" ht="39.950000000000003" hidden="1" customHeight="1" outlineLevel="2" x14ac:dyDescent="0.25">
      <c r="A543" s="171"/>
      <c r="B543" s="21" t="s">
        <v>254</v>
      </c>
      <c r="C543" s="159" t="s">
        <v>3900</v>
      </c>
      <c r="D543" s="161">
        <v>31380</v>
      </c>
      <c r="E543" s="161">
        <v>190</v>
      </c>
      <c r="F543" s="161">
        <v>165</v>
      </c>
      <c r="G543" s="161" t="s">
        <v>3922</v>
      </c>
      <c r="H543" s="161" t="s">
        <v>138</v>
      </c>
      <c r="I543" s="161">
        <v>67</v>
      </c>
      <c r="J543" s="161" t="s">
        <v>105</v>
      </c>
      <c r="K543" s="21" t="s">
        <v>106</v>
      </c>
      <c r="L543" s="161" t="s">
        <v>3380</v>
      </c>
      <c r="M543" s="21" t="s">
        <v>157</v>
      </c>
      <c r="N543" s="161" t="s">
        <v>67</v>
      </c>
      <c r="O543" s="21" t="s">
        <v>139</v>
      </c>
      <c r="P543" s="161" t="s">
        <v>109</v>
      </c>
      <c r="Q543" s="21" t="s">
        <v>70</v>
      </c>
      <c r="R543" s="161">
        <v>80</v>
      </c>
      <c r="S543" s="161" t="s">
        <v>269</v>
      </c>
      <c r="T543" s="161" t="s">
        <v>141</v>
      </c>
      <c r="U543" s="161" t="s">
        <v>73</v>
      </c>
      <c r="V543" s="21" t="s">
        <v>74</v>
      </c>
      <c r="W543" s="21" t="s">
        <v>160</v>
      </c>
      <c r="Y543" s="161">
        <v>0.01</v>
      </c>
      <c r="Z543" s="161">
        <v>6.5</v>
      </c>
      <c r="AA543" s="161" t="s">
        <v>77</v>
      </c>
      <c r="AB543" s="161" t="s">
        <v>114</v>
      </c>
      <c r="AC543" s="266" t="str">
        <f>HYPERLINK("https://gcsvt.ru/svetodiodnyie-svetilniki/svt-str-mpro-96w-duo-c/","Ссылка")</f>
        <v>Ссылка</v>
      </c>
      <c r="AD543" s="167">
        <v>16232</v>
      </c>
    </row>
    <row r="544" spans="1:30" s="161" customFormat="1" ht="39.950000000000003" hidden="1" customHeight="1" outlineLevel="2" x14ac:dyDescent="0.25">
      <c r="A544" s="171"/>
      <c r="B544" s="21" t="s">
        <v>254</v>
      </c>
      <c r="C544" s="159" t="s">
        <v>271</v>
      </c>
      <c r="D544" s="161">
        <v>47070</v>
      </c>
      <c r="E544" s="161">
        <v>285</v>
      </c>
      <c r="F544" s="161">
        <v>165</v>
      </c>
      <c r="G544" s="161" t="s">
        <v>272</v>
      </c>
      <c r="H544" s="161" t="s">
        <v>138</v>
      </c>
      <c r="I544" s="161">
        <v>67</v>
      </c>
      <c r="J544" s="161" t="s">
        <v>105</v>
      </c>
      <c r="K544" s="21" t="s">
        <v>106</v>
      </c>
      <c r="L544" s="161" t="s">
        <v>3380</v>
      </c>
      <c r="M544" s="21" t="s">
        <v>157</v>
      </c>
      <c r="N544" s="161" t="s">
        <v>67</v>
      </c>
      <c r="O544" s="21" t="s">
        <v>139</v>
      </c>
      <c r="P544" s="161" t="s">
        <v>109</v>
      </c>
      <c r="Q544" s="21" t="s">
        <v>70</v>
      </c>
      <c r="R544" s="161">
        <v>80</v>
      </c>
      <c r="S544" s="161" t="s">
        <v>273</v>
      </c>
      <c r="T544" s="161" t="s">
        <v>141</v>
      </c>
      <c r="U544" s="161" t="s">
        <v>73</v>
      </c>
      <c r="V544" s="21" t="s">
        <v>74</v>
      </c>
      <c r="W544" s="21" t="s">
        <v>257</v>
      </c>
      <c r="X544" s="161" t="s">
        <v>274</v>
      </c>
      <c r="Y544" s="161">
        <v>0.02</v>
      </c>
      <c r="Z544" s="161">
        <v>9</v>
      </c>
      <c r="AA544" s="161" t="s">
        <v>77</v>
      </c>
      <c r="AB544" s="161" t="s">
        <v>114</v>
      </c>
      <c r="AC544" s="266" t="str">
        <f>HYPERLINK("https://gcsvt.ru/svetodiodnyie-svetilniki/svt-str-mpro-96w-trio/","Ссылка")</f>
        <v>Ссылка</v>
      </c>
      <c r="AD544" s="167">
        <v>24348</v>
      </c>
    </row>
    <row r="545" spans="1:30" s="161" customFormat="1" ht="39.950000000000003" hidden="1" customHeight="1" outlineLevel="2" x14ac:dyDescent="0.25">
      <c r="A545" s="171"/>
      <c r="B545" s="21" t="s">
        <v>254</v>
      </c>
      <c r="C545" s="159" t="s">
        <v>275</v>
      </c>
      <c r="D545" s="161">
        <v>62760</v>
      </c>
      <c r="E545" s="161">
        <v>380</v>
      </c>
      <c r="F545" s="161">
        <v>165</v>
      </c>
      <c r="G545" s="161" t="s">
        <v>276</v>
      </c>
      <c r="H545" s="161" t="s">
        <v>138</v>
      </c>
      <c r="I545" s="161">
        <v>67</v>
      </c>
      <c r="J545" s="161" t="s">
        <v>105</v>
      </c>
      <c r="K545" s="21" t="s">
        <v>106</v>
      </c>
      <c r="L545" s="161" t="s">
        <v>3380</v>
      </c>
      <c r="M545" s="21" t="s">
        <v>157</v>
      </c>
      <c r="N545" s="161" t="s">
        <v>67</v>
      </c>
      <c r="O545" s="21" t="s">
        <v>139</v>
      </c>
      <c r="P545" s="161" t="s">
        <v>109</v>
      </c>
      <c r="Q545" s="21" t="s">
        <v>70</v>
      </c>
      <c r="R545" s="161">
        <v>80</v>
      </c>
      <c r="S545" s="161" t="s">
        <v>277</v>
      </c>
      <c r="T545" s="161" t="s">
        <v>141</v>
      </c>
      <c r="U545" s="161" t="s">
        <v>73</v>
      </c>
      <c r="V545" s="21" t="s">
        <v>74</v>
      </c>
      <c r="W545" s="21" t="s">
        <v>257</v>
      </c>
      <c r="X545" s="161" t="s">
        <v>278</v>
      </c>
      <c r="Y545" s="161">
        <v>0.03</v>
      </c>
      <c r="Z545" s="161">
        <v>12</v>
      </c>
      <c r="AA545" s="161" t="s">
        <v>77</v>
      </c>
      <c r="AB545" s="161" t="s">
        <v>114</v>
      </c>
      <c r="AC545" s="266" t="str">
        <f>HYPERLINK("https://gcsvt.ru/svetodiodnyie-svetilniki/svt-str-mpro-96w-quattro/","Ссылка")</f>
        <v>Ссылка</v>
      </c>
      <c r="AD545" s="167">
        <v>32464</v>
      </c>
    </row>
    <row r="546" spans="1:30" s="161" customFormat="1" ht="39.950000000000003" hidden="1" customHeight="1" outlineLevel="2" x14ac:dyDescent="0.25">
      <c r="A546" s="171"/>
      <c r="B546" s="21" t="s">
        <v>254</v>
      </c>
      <c r="C546" s="159" t="s">
        <v>3907</v>
      </c>
      <c r="D546" s="161">
        <v>39360</v>
      </c>
      <c r="E546" s="161">
        <v>240</v>
      </c>
      <c r="F546" s="161">
        <v>164</v>
      </c>
      <c r="G546" s="161" t="s">
        <v>3915</v>
      </c>
      <c r="H546" s="161" t="s">
        <v>138</v>
      </c>
      <c r="I546" s="161">
        <v>67</v>
      </c>
      <c r="J546" s="161" t="s">
        <v>105</v>
      </c>
      <c r="K546" s="21" t="s">
        <v>106</v>
      </c>
      <c r="L546" s="161" t="s">
        <v>3380</v>
      </c>
      <c r="M546" s="21" t="s">
        <v>157</v>
      </c>
      <c r="N546" s="161" t="s">
        <v>67</v>
      </c>
      <c r="O546" s="21" t="s">
        <v>139</v>
      </c>
      <c r="P546" s="161" t="s">
        <v>109</v>
      </c>
      <c r="Q546" s="21" t="s">
        <v>70</v>
      </c>
      <c r="R546" s="161">
        <v>80</v>
      </c>
      <c r="S546" s="161" t="s">
        <v>4499</v>
      </c>
      <c r="T546" s="161" t="s">
        <v>141</v>
      </c>
      <c r="U546" s="161" t="s">
        <v>142</v>
      </c>
      <c r="V546" s="21" t="s">
        <v>74</v>
      </c>
      <c r="W546" s="21" t="s">
        <v>257</v>
      </c>
      <c r="X546" s="161" t="s">
        <v>3926</v>
      </c>
      <c r="Y546" s="161">
        <v>2.1999999999999999E-2</v>
      </c>
      <c r="Z546" s="161">
        <v>7.3</v>
      </c>
      <c r="AA546" s="161" t="s">
        <v>3931</v>
      </c>
      <c r="AB546" s="161" t="s">
        <v>114</v>
      </c>
      <c r="AC546" s="266" t="str">
        <f>HYPERLINK("https://gcsvt.ru/svetodiodnyie-svetilniki/svt-str-mpro-120w-duo/","Ссылка")</f>
        <v>Ссылка</v>
      </c>
      <c r="AD546" s="167">
        <v>19299</v>
      </c>
    </row>
    <row r="547" spans="1:30" s="161" customFormat="1" ht="39.950000000000003" hidden="1" customHeight="1" outlineLevel="2" x14ac:dyDescent="0.25">
      <c r="A547" s="171"/>
      <c r="B547" s="21" t="s">
        <v>254</v>
      </c>
      <c r="C547" s="159" t="s">
        <v>3908</v>
      </c>
      <c r="D547" s="161">
        <v>39360</v>
      </c>
      <c r="E547" s="161">
        <v>240</v>
      </c>
      <c r="F547" s="161">
        <v>164</v>
      </c>
      <c r="G547" s="161" t="s">
        <v>3916</v>
      </c>
      <c r="H547" s="161" t="s">
        <v>138</v>
      </c>
      <c r="I547" s="161">
        <v>67</v>
      </c>
      <c r="J547" s="161" t="s">
        <v>105</v>
      </c>
      <c r="K547" s="21" t="s">
        <v>106</v>
      </c>
      <c r="L547" s="161" t="s">
        <v>3380</v>
      </c>
      <c r="M547" s="21" t="s">
        <v>157</v>
      </c>
      <c r="N547" s="161" t="s">
        <v>67</v>
      </c>
      <c r="O547" s="21" t="s">
        <v>139</v>
      </c>
      <c r="P547" s="161" t="s">
        <v>109</v>
      </c>
      <c r="Q547" s="21" t="s">
        <v>70</v>
      </c>
      <c r="R547" s="161">
        <v>80</v>
      </c>
      <c r="S547" s="161" t="s">
        <v>4499</v>
      </c>
      <c r="T547" s="161" t="s">
        <v>141</v>
      </c>
      <c r="U547" s="161" t="s">
        <v>142</v>
      </c>
      <c r="V547" s="21" t="s">
        <v>74</v>
      </c>
      <c r="W547" s="21" t="s">
        <v>160</v>
      </c>
      <c r="X547" s="161" t="s">
        <v>3927</v>
      </c>
      <c r="Y547" s="161">
        <v>2.1999999999999999E-2</v>
      </c>
      <c r="Z547" s="161">
        <v>7.3</v>
      </c>
      <c r="AA547" s="161" t="s">
        <v>3931</v>
      </c>
      <c r="AB547" s="161" t="s">
        <v>114</v>
      </c>
      <c r="AC547" s="266" t="str">
        <f>HYPERLINK("https://gcsvt.ru/svetodiodnyie-svetilniki/svt-str-mpro-120w-duo-c/","Ссылка")</f>
        <v>Ссылка</v>
      </c>
      <c r="AD547" s="167">
        <v>19299</v>
      </c>
    </row>
    <row r="548" spans="1:30" s="161" customFormat="1" ht="39.950000000000003" hidden="1" customHeight="1" outlineLevel="2" x14ac:dyDescent="0.25">
      <c r="A548" s="171"/>
      <c r="B548" s="21" t="s">
        <v>254</v>
      </c>
      <c r="C548" s="159" t="s">
        <v>3909</v>
      </c>
      <c r="D548" s="161">
        <v>59040</v>
      </c>
      <c r="E548" s="161">
        <v>360</v>
      </c>
      <c r="F548" s="161">
        <v>164</v>
      </c>
      <c r="G548" s="161" t="s">
        <v>3917</v>
      </c>
      <c r="H548" s="161" t="s">
        <v>138</v>
      </c>
      <c r="I548" s="161">
        <v>67</v>
      </c>
      <c r="J548" s="161" t="s">
        <v>105</v>
      </c>
      <c r="K548" s="21" t="s">
        <v>106</v>
      </c>
      <c r="L548" s="161" t="s">
        <v>3380</v>
      </c>
      <c r="M548" s="21" t="s">
        <v>157</v>
      </c>
      <c r="N548" s="161" t="s">
        <v>67</v>
      </c>
      <c r="O548" s="21" t="s">
        <v>139</v>
      </c>
      <c r="P548" s="161" t="s">
        <v>109</v>
      </c>
      <c r="Q548" s="21" t="s">
        <v>70</v>
      </c>
      <c r="R548" s="161">
        <v>80</v>
      </c>
      <c r="S548" s="161" t="s">
        <v>4500</v>
      </c>
      <c r="T548" s="161" t="s">
        <v>141</v>
      </c>
      <c r="U548" s="161" t="s">
        <v>142</v>
      </c>
      <c r="V548" s="21" t="s">
        <v>74</v>
      </c>
      <c r="W548" s="21" t="s">
        <v>257</v>
      </c>
      <c r="X548" s="161" t="s">
        <v>3928</v>
      </c>
      <c r="Y548" s="161">
        <v>3.5999999999999997E-2</v>
      </c>
      <c r="Z548" s="161">
        <v>10.199999999999999</v>
      </c>
      <c r="AA548" s="161" t="s">
        <v>3931</v>
      </c>
      <c r="AB548" s="161" t="s">
        <v>114</v>
      </c>
      <c r="AC548" s="266" t="str">
        <f>HYPERLINK("https://gcsvt.ru/svetodiodnyie-svetilniki/svt-str-mpro-120w-trio/","Ссылка")</f>
        <v>Ссылка</v>
      </c>
      <c r="AD548" s="167">
        <v>28948</v>
      </c>
    </row>
    <row r="549" spans="1:30" s="161" customFormat="1" ht="39.950000000000003" hidden="1" customHeight="1" outlineLevel="2" x14ac:dyDescent="0.25">
      <c r="A549" s="171"/>
      <c r="B549" s="21" t="s">
        <v>254</v>
      </c>
      <c r="C549" s="159" t="s">
        <v>3910</v>
      </c>
      <c r="D549" s="161">
        <v>59040</v>
      </c>
      <c r="E549" s="161">
        <v>360</v>
      </c>
      <c r="F549" s="161">
        <v>164</v>
      </c>
      <c r="G549" s="161" t="s">
        <v>3918</v>
      </c>
      <c r="H549" s="161" t="s">
        <v>138</v>
      </c>
      <c r="I549" s="161">
        <v>67</v>
      </c>
      <c r="J549" s="161" t="s">
        <v>105</v>
      </c>
      <c r="K549" s="21" t="s">
        <v>106</v>
      </c>
      <c r="L549" s="161" t="s">
        <v>3380</v>
      </c>
      <c r="M549" s="21" t="s">
        <v>157</v>
      </c>
      <c r="N549" s="161" t="s">
        <v>67</v>
      </c>
      <c r="O549" s="21" t="s">
        <v>139</v>
      </c>
      <c r="P549" s="161" t="s">
        <v>109</v>
      </c>
      <c r="Q549" s="21" t="s">
        <v>70</v>
      </c>
      <c r="R549" s="161">
        <v>80</v>
      </c>
      <c r="S549" s="161" t="s">
        <v>4500</v>
      </c>
      <c r="T549" s="161" t="s">
        <v>141</v>
      </c>
      <c r="U549" s="161" t="s">
        <v>142</v>
      </c>
      <c r="V549" s="21" t="s">
        <v>74</v>
      </c>
      <c r="W549" s="21" t="s">
        <v>160</v>
      </c>
      <c r="X549" s="161" t="s">
        <v>3929</v>
      </c>
      <c r="Y549" s="161">
        <v>3.5999999999999997E-2</v>
      </c>
      <c r="Z549" s="161">
        <v>10.199999999999999</v>
      </c>
      <c r="AA549" s="161" t="s">
        <v>3931</v>
      </c>
      <c r="AB549" s="161" t="s">
        <v>114</v>
      </c>
      <c r="AC549" s="266" t="str">
        <f>HYPERLINK("https://gcsvt.ru/svetodiodnyie-svetilniki/svt-str-mpro-120w-trio-c/","Ссылка")</f>
        <v>Ссылка</v>
      </c>
      <c r="AD549" s="167">
        <v>28948</v>
      </c>
    </row>
    <row r="550" spans="1:30" s="161" customFormat="1" ht="39.950000000000003" hidden="1" customHeight="1" outlineLevel="2" x14ac:dyDescent="0.25">
      <c r="A550" s="171"/>
      <c r="B550" s="21" t="s">
        <v>254</v>
      </c>
      <c r="C550" s="159" t="s">
        <v>3911</v>
      </c>
      <c r="D550" s="161">
        <v>78720</v>
      </c>
      <c r="E550" s="161">
        <v>480</v>
      </c>
      <c r="F550" s="161">
        <v>164</v>
      </c>
      <c r="G550" s="161" t="s">
        <v>3919</v>
      </c>
      <c r="H550" s="161" t="s">
        <v>138</v>
      </c>
      <c r="I550" s="161">
        <v>67</v>
      </c>
      <c r="J550" s="161" t="s">
        <v>105</v>
      </c>
      <c r="K550" s="21" t="s">
        <v>106</v>
      </c>
      <c r="L550" s="161" t="s">
        <v>3380</v>
      </c>
      <c r="M550" s="21" t="s">
        <v>157</v>
      </c>
      <c r="N550" s="161" t="s">
        <v>67</v>
      </c>
      <c r="O550" s="21" t="s">
        <v>139</v>
      </c>
      <c r="P550" s="161" t="s">
        <v>109</v>
      </c>
      <c r="Q550" s="21" t="s">
        <v>70</v>
      </c>
      <c r="R550" s="161">
        <v>80</v>
      </c>
      <c r="S550" s="161" t="s">
        <v>4501</v>
      </c>
      <c r="T550" s="161" t="s">
        <v>141</v>
      </c>
      <c r="U550" s="161" t="s">
        <v>142</v>
      </c>
      <c r="V550" s="21" t="s">
        <v>74</v>
      </c>
      <c r="W550" s="21" t="s">
        <v>257</v>
      </c>
      <c r="X550" s="161" t="s">
        <v>3930</v>
      </c>
      <c r="Y550" s="161">
        <v>4.3999999999999997E-2</v>
      </c>
      <c r="Z550" s="161">
        <v>13.6</v>
      </c>
      <c r="AA550" s="161" t="s">
        <v>3931</v>
      </c>
      <c r="AB550" s="161" t="s">
        <v>114</v>
      </c>
      <c r="AC550" s="266" t="str">
        <f>HYPERLINK("https://gcsvt.ru/svetodiodnyie-svetilniki/svt-str-mpro-120w-quattro/","Ссылка")</f>
        <v>Ссылка</v>
      </c>
      <c r="AD550" s="167">
        <v>38597</v>
      </c>
    </row>
    <row r="551" spans="1:30" s="161" customFormat="1" ht="39.950000000000003" hidden="1" customHeight="1" outlineLevel="2" x14ac:dyDescent="0.25">
      <c r="A551" s="171"/>
      <c r="B551" s="21" t="s">
        <v>254</v>
      </c>
      <c r="C551" s="159" t="s">
        <v>279</v>
      </c>
      <c r="D551" s="161">
        <v>26544</v>
      </c>
      <c r="E551" s="161">
        <v>158</v>
      </c>
      <c r="F551" s="161">
        <v>168</v>
      </c>
      <c r="G551" s="161" t="s">
        <v>280</v>
      </c>
      <c r="H551" s="161" t="s">
        <v>63</v>
      </c>
      <c r="I551" s="161">
        <v>67</v>
      </c>
      <c r="J551" s="161" t="s">
        <v>105</v>
      </c>
      <c r="K551" s="21" t="s">
        <v>106</v>
      </c>
      <c r="L551" s="161" t="s">
        <v>3380</v>
      </c>
      <c r="M551" s="21" t="s">
        <v>157</v>
      </c>
      <c r="N551" s="161" t="s">
        <v>67</v>
      </c>
      <c r="O551" s="21" t="s">
        <v>68</v>
      </c>
      <c r="P551" s="161" t="s">
        <v>109</v>
      </c>
      <c r="Q551" s="21" t="s">
        <v>70</v>
      </c>
      <c r="R551" s="161">
        <v>70</v>
      </c>
      <c r="S551" s="161" t="s">
        <v>3223</v>
      </c>
      <c r="T551" s="161" t="s">
        <v>174</v>
      </c>
      <c r="U551" s="161" t="s">
        <v>73</v>
      </c>
      <c r="V551" s="21" t="s">
        <v>74</v>
      </c>
      <c r="W551" s="21" t="s">
        <v>160</v>
      </c>
      <c r="X551" s="161" t="s">
        <v>282</v>
      </c>
      <c r="Y551" s="161">
        <v>0.02</v>
      </c>
      <c r="Z551" s="161">
        <v>6.5</v>
      </c>
      <c r="AA551" s="161" t="s">
        <v>77</v>
      </c>
      <c r="AB551" s="161" t="s">
        <v>114</v>
      </c>
      <c r="AC551" s="266" t="str">
        <f>HYPERLINK("https://gcsvt.ru/svetodiodnyie-svetilniki/svt-str-mpro-79w-45x140-duo-c/","Ссылка")</f>
        <v>Ссылка</v>
      </c>
      <c r="AD551" s="167">
        <v>26167</v>
      </c>
    </row>
    <row r="552" spans="1:30" s="161" customFormat="1" ht="39.950000000000003" hidden="1" customHeight="1" outlineLevel="2" x14ac:dyDescent="0.25">
      <c r="A552" s="171"/>
      <c r="B552" s="21" t="s">
        <v>254</v>
      </c>
      <c r="C552" s="159" t="s">
        <v>283</v>
      </c>
      <c r="D552" s="161">
        <v>26544</v>
      </c>
      <c r="E552" s="161">
        <v>158</v>
      </c>
      <c r="F552" s="161">
        <v>168</v>
      </c>
      <c r="G552" s="161" t="s">
        <v>284</v>
      </c>
      <c r="H552" s="161" t="s">
        <v>177</v>
      </c>
      <c r="I552" s="161">
        <v>67</v>
      </c>
      <c r="J552" s="161" t="s">
        <v>105</v>
      </c>
      <c r="K552" s="21" t="s">
        <v>106</v>
      </c>
      <c r="L552" s="161" t="s">
        <v>3380</v>
      </c>
      <c r="M552" s="21" t="s">
        <v>157</v>
      </c>
      <c r="N552" s="161" t="s">
        <v>67</v>
      </c>
      <c r="O552" s="21" t="s">
        <v>68</v>
      </c>
      <c r="P552" s="161" t="s">
        <v>109</v>
      </c>
      <c r="Q552" s="21" t="s">
        <v>70</v>
      </c>
      <c r="R552" s="161">
        <v>70</v>
      </c>
      <c r="S552" s="161" t="s">
        <v>3223</v>
      </c>
      <c r="T552" s="161" t="s">
        <v>174</v>
      </c>
      <c r="U552" s="161" t="s">
        <v>73</v>
      </c>
      <c r="V552" s="21" t="s">
        <v>74</v>
      </c>
      <c r="W552" s="21" t="s">
        <v>257</v>
      </c>
      <c r="X552" s="161" t="s">
        <v>285</v>
      </c>
      <c r="Y552" s="161">
        <v>0.02</v>
      </c>
      <c r="Z552" s="161">
        <v>6.5</v>
      </c>
      <c r="AA552" s="161" t="s">
        <v>77</v>
      </c>
      <c r="AB552" s="161" t="s">
        <v>114</v>
      </c>
      <c r="AC552" s="266" t="str">
        <f>HYPERLINK("https://gcsvt.ru/svetodiodnyie-svetilniki/svt-str-mpro-79w-20-duo/","Ссылка")</f>
        <v>Ссылка</v>
      </c>
      <c r="AD552" s="167">
        <v>26167</v>
      </c>
    </row>
    <row r="553" spans="1:30" s="161" customFormat="1" ht="39.950000000000003" hidden="1" customHeight="1" outlineLevel="2" x14ac:dyDescent="0.25">
      <c r="A553" s="171"/>
      <c r="B553" s="21" t="s">
        <v>254</v>
      </c>
      <c r="C553" s="159" t="s">
        <v>286</v>
      </c>
      <c r="D553" s="161">
        <v>26544</v>
      </c>
      <c r="E553" s="161">
        <v>158</v>
      </c>
      <c r="F553" s="161">
        <v>168</v>
      </c>
      <c r="G553" s="161" t="s">
        <v>287</v>
      </c>
      <c r="H553" s="161" t="s">
        <v>180</v>
      </c>
      <c r="I553" s="161">
        <v>67</v>
      </c>
      <c r="J553" s="161" t="s">
        <v>105</v>
      </c>
      <c r="K553" s="21" t="s">
        <v>106</v>
      </c>
      <c r="L553" s="161" t="s">
        <v>3380</v>
      </c>
      <c r="M553" s="21" t="s">
        <v>157</v>
      </c>
      <c r="N553" s="161" t="s">
        <v>67</v>
      </c>
      <c r="O553" s="21" t="s">
        <v>68</v>
      </c>
      <c r="P553" s="161" t="s">
        <v>109</v>
      </c>
      <c r="Q553" s="21" t="s">
        <v>70</v>
      </c>
      <c r="R553" s="161">
        <v>70</v>
      </c>
      <c r="S553" s="161" t="s">
        <v>3223</v>
      </c>
      <c r="T553" s="161" t="s">
        <v>174</v>
      </c>
      <c r="U553" s="161" t="s">
        <v>73</v>
      </c>
      <c r="V553" s="21" t="s">
        <v>74</v>
      </c>
      <c r="W553" s="21" t="s">
        <v>257</v>
      </c>
      <c r="X553" s="161" t="s">
        <v>285</v>
      </c>
      <c r="Y553" s="161">
        <v>0.02</v>
      </c>
      <c r="Z553" s="161">
        <v>6.5</v>
      </c>
      <c r="AA553" s="161" t="s">
        <v>77</v>
      </c>
      <c r="AB553" s="161" t="s">
        <v>114</v>
      </c>
      <c r="AC553" s="266" t="str">
        <f>HYPERLINK("https://gcsvt.ru/svetodiodnyie-svetilniki/svt-str-mpro-79w-35-duo/","Ссылка")</f>
        <v>Ссылка</v>
      </c>
      <c r="AD553" s="167">
        <v>26167</v>
      </c>
    </row>
    <row r="554" spans="1:30" s="161" customFormat="1" ht="39.950000000000003" hidden="1" customHeight="1" outlineLevel="2" x14ac:dyDescent="0.25">
      <c r="A554" s="171"/>
      <c r="B554" s="21" t="s">
        <v>254</v>
      </c>
      <c r="C554" s="159" t="s">
        <v>288</v>
      </c>
      <c r="D554" s="161">
        <v>26544</v>
      </c>
      <c r="E554" s="161">
        <v>158</v>
      </c>
      <c r="F554" s="161">
        <v>168</v>
      </c>
      <c r="G554" s="161" t="s">
        <v>289</v>
      </c>
      <c r="H554" s="161" t="s">
        <v>183</v>
      </c>
      <c r="I554" s="161">
        <v>67</v>
      </c>
      <c r="J554" s="161" t="s">
        <v>105</v>
      </c>
      <c r="K554" s="21" t="s">
        <v>106</v>
      </c>
      <c r="L554" s="161" t="s">
        <v>3380</v>
      </c>
      <c r="M554" s="21" t="s">
        <v>157</v>
      </c>
      <c r="N554" s="161" t="s">
        <v>67</v>
      </c>
      <c r="O554" s="21" t="s">
        <v>68</v>
      </c>
      <c r="P554" s="161" t="s">
        <v>109</v>
      </c>
      <c r="Q554" s="21" t="s">
        <v>70</v>
      </c>
      <c r="R554" s="161">
        <v>70</v>
      </c>
      <c r="S554" s="161" t="s">
        <v>3223</v>
      </c>
      <c r="T554" s="161" t="s">
        <v>174</v>
      </c>
      <c r="U554" s="161" t="s">
        <v>73</v>
      </c>
      <c r="V554" s="21" t="s">
        <v>74</v>
      </c>
      <c r="W554" s="21" t="s">
        <v>257</v>
      </c>
      <c r="X554" s="161" t="s">
        <v>285</v>
      </c>
      <c r="Y554" s="161">
        <v>0.02</v>
      </c>
      <c r="Z554" s="161">
        <v>6.5</v>
      </c>
      <c r="AA554" s="161" t="s">
        <v>77</v>
      </c>
      <c r="AB554" s="161" t="s">
        <v>114</v>
      </c>
      <c r="AC554" s="266" t="str">
        <f>HYPERLINK("https://gcsvt.ru/svetodiodnyie-svetilniki/svt-str-mpro-79w-65-duo/","Ссылка")</f>
        <v>Ссылка</v>
      </c>
      <c r="AD554" s="167">
        <v>26167</v>
      </c>
    </row>
    <row r="555" spans="1:30" s="161" customFormat="1" ht="39.950000000000003" hidden="1" customHeight="1" outlineLevel="2" x14ac:dyDescent="0.25">
      <c r="A555" s="171"/>
      <c r="B555" s="21" t="s">
        <v>254</v>
      </c>
      <c r="C555" s="159" t="s">
        <v>290</v>
      </c>
      <c r="D555" s="161">
        <v>26544</v>
      </c>
      <c r="E555" s="161">
        <v>158</v>
      </c>
      <c r="F555" s="161">
        <v>168</v>
      </c>
      <c r="G555" s="161" t="s">
        <v>291</v>
      </c>
      <c r="H555" s="161" t="s">
        <v>186</v>
      </c>
      <c r="I555" s="161">
        <v>67</v>
      </c>
      <c r="J555" s="161" t="s">
        <v>105</v>
      </c>
      <c r="K555" s="21" t="s">
        <v>106</v>
      </c>
      <c r="L555" s="161" t="s">
        <v>3380</v>
      </c>
      <c r="M555" s="21" t="s">
        <v>157</v>
      </c>
      <c r="N555" s="161" t="s">
        <v>67</v>
      </c>
      <c r="O555" s="21" t="s">
        <v>68</v>
      </c>
      <c r="P555" s="161" t="s">
        <v>109</v>
      </c>
      <c r="Q555" s="21" t="s">
        <v>70</v>
      </c>
      <c r="R555" s="161">
        <v>70</v>
      </c>
      <c r="S555" s="161" t="s">
        <v>3223</v>
      </c>
      <c r="T555" s="161" t="s">
        <v>174</v>
      </c>
      <c r="U555" s="161" t="s">
        <v>73</v>
      </c>
      <c r="V555" s="21" t="s">
        <v>74</v>
      </c>
      <c r="W555" s="21" t="s">
        <v>257</v>
      </c>
      <c r="X555" s="161" t="s">
        <v>285</v>
      </c>
      <c r="Y555" s="161">
        <v>0.02</v>
      </c>
      <c r="Z555" s="161">
        <v>6.5</v>
      </c>
      <c r="AA555" s="161" t="s">
        <v>77</v>
      </c>
      <c r="AB555" s="161" t="s">
        <v>114</v>
      </c>
      <c r="AC555" s="266" t="str">
        <f>HYPERLINK("https://gcsvt.ru/svetodiodnyie-svetilniki/svt-str-mpro-79w-100-duo/","Ссылка")</f>
        <v>Ссылка</v>
      </c>
      <c r="AD555" s="167">
        <v>26167</v>
      </c>
    </row>
    <row r="556" spans="1:30" s="161" customFormat="1" ht="39.950000000000003" hidden="1" customHeight="1" outlineLevel="2" x14ac:dyDescent="0.25">
      <c r="A556" s="171"/>
      <c r="B556" s="21" t="s">
        <v>254</v>
      </c>
      <c r="C556" s="159" t="s">
        <v>292</v>
      </c>
      <c r="D556" s="161">
        <v>26544</v>
      </c>
      <c r="E556" s="161">
        <v>158</v>
      </c>
      <c r="F556" s="161">
        <v>168</v>
      </c>
      <c r="G556" s="161" t="s">
        <v>293</v>
      </c>
      <c r="H556" s="161" t="s">
        <v>189</v>
      </c>
      <c r="I556" s="161">
        <v>67</v>
      </c>
      <c r="J556" s="161" t="s">
        <v>105</v>
      </c>
      <c r="K556" s="21" t="s">
        <v>106</v>
      </c>
      <c r="L556" s="161" t="s">
        <v>3380</v>
      </c>
      <c r="M556" s="21" t="s">
        <v>157</v>
      </c>
      <c r="N556" s="161" t="s">
        <v>67</v>
      </c>
      <c r="O556" s="21" t="s">
        <v>68</v>
      </c>
      <c r="P556" s="161" t="s">
        <v>109</v>
      </c>
      <c r="Q556" s="21" t="s">
        <v>70</v>
      </c>
      <c r="R556" s="161">
        <v>70</v>
      </c>
      <c r="S556" s="161" t="s">
        <v>3223</v>
      </c>
      <c r="T556" s="161" t="s">
        <v>174</v>
      </c>
      <c r="U556" s="161" t="s">
        <v>73</v>
      </c>
      <c r="V556" s="21" t="s">
        <v>74</v>
      </c>
      <c r="W556" s="21" t="s">
        <v>257</v>
      </c>
      <c r="X556" s="161" t="s">
        <v>285</v>
      </c>
      <c r="Y556" s="161">
        <v>0.02</v>
      </c>
      <c r="Z556" s="161">
        <v>6.5</v>
      </c>
      <c r="AA556" s="161" t="s">
        <v>77</v>
      </c>
      <c r="AB556" s="161" t="s">
        <v>114</v>
      </c>
      <c r="AC556" s="266" t="str">
        <f>HYPERLINK("https://gcsvt.ru/svetodiodnyie-svetilniki/svt-str-mpro-79w-30x120-duo/","Ссылка")</f>
        <v>Ссылка</v>
      </c>
      <c r="AD556" s="167">
        <v>26167</v>
      </c>
    </row>
    <row r="557" spans="1:30" s="161" customFormat="1" ht="39.950000000000003" hidden="1" customHeight="1" outlineLevel="2" x14ac:dyDescent="0.25">
      <c r="A557" s="171"/>
      <c r="B557" s="21" t="s">
        <v>254</v>
      </c>
      <c r="C557" s="159" t="s">
        <v>294</v>
      </c>
      <c r="D557" s="161">
        <v>26544</v>
      </c>
      <c r="E557" s="161">
        <v>158</v>
      </c>
      <c r="F557" s="161">
        <v>168</v>
      </c>
      <c r="G557" s="161" t="s">
        <v>295</v>
      </c>
      <c r="H557" s="161" t="s">
        <v>192</v>
      </c>
      <c r="I557" s="161">
        <v>67</v>
      </c>
      <c r="J557" s="161" t="s">
        <v>105</v>
      </c>
      <c r="K557" s="21" t="s">
        <v>106</v>
      </c>
      <c r="L557" s="161" t="s">
        <v>3380</v>
      </c>
      <c r="M557" s="21" t="s">
        <v>157</v>
      </c>
      <c r="N557" s="161" t="s">
        <v>67</v>
      </c>
      <c r="O557" s="21" t="s">
        <v>68</v>
      </c>
      <c r="P557" s="161" t="s">
        <v>109</v>
      </c>
      <c r="Q557" s="21" t="s">
        <v>70</v>
      </c>
      <c r="R557" s="161">
        <v>70</v>
      </c>
      <c r="S557" s="161" t="s">
        <v>3223</v>
      </c>
      <c r="T557" s="161" t="s">
        <v>174</v>
      </c>
      <c r="U557" s="161" t="s">
        <v>73</v>
      </c>
      <c r="V557" s="21" t="s">
        <v>74</v>
      </c>
      <c r="W557" s="21" t="s">
        <v>257</v>
      </c>
      <c r="X557" s="161" t="s">
        <v>285</v>
      </c>
      <c r="Y557" s="161">
        <v>0.02</v>
      </c>
      <c r="Z557" s="161">
        <v>6.5</v>
      </c>
      <c r="AA557" s="161" t="s">
        <v>77</v>
      </c>
      <c r="AB557" s="161" t="s">
        <v>114</v>
      </c>
      <c r="AC557" s="266" t="str">
        <f>HYPERLINK("https://gcsvt.ru/svetodiodnyie-svetilniki/svt-str-mpro-79w-vsm-duo/","Ссылка")</f>
        <v>Ссылка</v>
      </c>
      <c r="AD557" s="167">
        <v>26167</v>
      </c>
    </row>
    <row r="558" spans="1:30" s="161" customFormat="1" ht="39.950000000000003" hidden="1" customHeight="1" outlineLevel="2" x14ac:dyDescent="0.25">
      <c r="A558" s="171"/>
      <c r="B558" s="21" t="s">
        <v>254</v>
      </c>
      <c r="C558" s="159" t="s">
        <v>296</v>
      </c>
      <c r="D558" s="161">
        <v>26544</v>
      </c>
      <c r="E558" s="161">
        <v>158</v>
      </c>
      <c r="F558" s="161">
        <v>168</v>
      </c>
      <c r="G558" s="161" t="s">
        <v>297</v>
      </c>
      <c r="H558" s="161" t="s">
        <v>63</v>
      </c>
      <c r="I558" s="161">
        <v>67</v>
      </c>
      <c r="J558" s="161" t="s">
        <v>105</v>
      </c>
      <c r="K558" s="21" t="s">
        <v>106</v>
      </c>
      <c r="L558" s="161" t="s">
        <v>3380</v>
      </c>
      <c r="M558" s="21" t="s">
        <v>157</v>
      </c>
      <c r="N558" s="161" t="s">
        <v>67</v>
      </c>
      <c r="O558" s="21" t="s">
        <v>68</v>
      </c>
      <c r="P558" s="161" t="s">
        <v>109</v>
      </c>
      <c r="Q558" s="21" t="s">
        <v>70</v>
      </c>
      <c r="R558" s="161">
        <v>70</v>
      </c>
      <c r="S558" s="161" t="s">
        <v>3223</v>
      </c>
      <c r="T558" s="161" t="s">
        <v>174</v>
      </c>
      <c r="U558" s="161" t="s">
        <v>73</v>
      </c>
      <c r="V558" s="21" t="s">
        <v>74</v>
      </c>
      <c r="W558" s="21" t="s">
        <v>257</v>
      </c>
      <c r="X558" s="161" t="s">
        <v>285</v>
      </c>
      <c r="Y558" s="161">
        <v>0.02</v>
      </c>
      <c r="Z558" s="161">
        <v>6.5</v>
      </c>
      <c r="AA558" s="161" t="s">
        <v>77</v>
      </c>
      <c r="AB558" s="161" t="s">
        <v>114</v>
      </c>
      <c r="AC558" s="266" t="str">
        <f>HYPERLINK("https://gcsvt.ru/svetodiodnyie-svetilniki/svt-str-mpro-79w-45x140-duo/","Ссылка")</f>
        <v>Ссылка</v>
      </c>
      <c r="AD558" s="167">
        <v>26167</v>
      </c>
    </row>
    <row r="559" spans="1:30" s="161" customFormat="1" ht="39.950000000000003" hidden="1" customHeight="1" outlineLevel="2" x14ac:dyDescent="0.25">
      <c r="A559" s="171"/>
      <c r="B559" s="21" t="s">
        <v>254</v>
      </c>
      <c r="C559" s="159" t="s">
        <v>298</v>
      </c>
      <c r="D559" s="161">
        <v>33456</v>
      </c>
      <c r="E559" s="161">
        <v>204</v>
      </c>
      <c r="F559" s="161">
        <v>164</v>
      </c>
      <c r="G559" s="161" t="s">
        <v>299</v>
      </c>
      <c r="H559" s="161" t="s">
        <v>63</v>
      </c>
      <c r="I559" s="161">
        <v>67</v>
      </c>
      <c r="J559" s="161" t="s">
        <v>105</v>
      </c>
      <c r="K559" s="21" t="s">
        <v>106</v>
      </c>
      <c r="L559" s="161" t="s">
        <v>3380</v>
      </c>
      <c r="M559" s="21" t="s">
        <v>235</v>
      </c>
      <c r="N559" s="161" t="s">
        <v>67</v>
      </c>
      <c r="O559" s="21" t="s">
        <v>68</v>
      </c>
      <c r="P559" s="161" t="s">
        <v>109</v>
      </c>
      <c r="Q559" s="21" t="s">
        <v>70</v>
      </c>
      <c r="R559" s="161">
        <v>70</v>
      </c>
      <c r="S559" s="161" t="s">
        <v>3224</v>
      </c>
      <c r="T559" s="161" t="s">
        <v>174</v>
      </c>
      <c r="U559" s="161" t="s">
        <v>73</v>
      </c>
      <c r="V559" s="21" t="s">
        <v>74</v>
      </c>
      <c r="W559" s="21" t="s">
        <v>160</v>
      </c>
      <c r="X559" s="161" t="s">
        <v>301</v>
      </c>
      <c r="Y559" s="161">
        <v>0.02</v>
      </c>
      <c r="Z559" s="161">
        <v>8</v>
      </c>
      <c r="AA559" s="161" t="s">
        <v>77</v>
      </c>
      <c r="AB559" s="161" t="s">
        <v>114</v>
      </c>
      <c r="AC559" s="266" t="str">
        <f>HYPERLINK("https://gcsvt.ru/svetodiodnyie-svetilniki/svt-str-mpro-102w-45x140-duo-c/","Ссылка")</f>
        <v>Ссылка</v>
      </c>
      <c r="AD559" s="167">
        <v>32629</v>
      </c>
    </row>
    <row r="560" spans="1:30" s="161" customFormat="1" ht="39.950000000000003" hidden="1" customHeight="1" outlineLevel="2" x14ac:dyDescent="0.25">
      <c r="A560" s="171"/>
      <c r="B560" s="21" t="s">
        <v>254</v>
      </c>
      <c r="C560" s="159" t="s">
        <v>302</v>
      </c>
      <c r="D560" s="161">
        <v>33456</v>
      </c>
      <c r="E560" s="161">
        <v>204</v>
      </c>
      <c r="F560" s="161">
        <v>164</v>
      </c>
      <c r="G560" s="161" t="s">
        <v>303</v>
      </c>
      <c r="H560" s="161" t="s">
        <v>177</v>
      </c>
      <c r="I560" s="161">
        <v>67</v>
      </c>
      <c r="J560" s="161" t="s">
        <v>105</v>
      </c>
      <c r="K560" s="21" t="s">
        <v>106</v>
      </c>
      <c r="L560" s="161" t="s">
        <v>3380</v>
      </c>
      <c r="M560" s="21" t="s">
        <v>235</v>
      </c>
      <c r="N560" s="161" t="s">
        <v>67</v>
      </c>
      <c r="O560" s="21" t="s">
        <v>68</v>
      </c>
      <c r="P560" s="161" t="s">
        <v>109</v>
      </c>
      <c r="Q560" s="21" t="s">
        <v>70</v>
      </c>
      <c r="R560" s="161">
        <v>70</v>
      </c>
      <c r="S560" s="161" t="s">
        <v>3224</v>
      </c>
      <c r="T560" s="161" t="s">
        <v>174</v>
      </c>
      <c r="U560" s="161" t="s">
        <v>73</v>
      </c>
      <c r="V560" s="21" t="s">
        <v>74</v>
      </c>
      <c r="W560" s="21" t="s">
        <v>257</v>
      </c>
      <c r="X560" s="161" t="s">
        <v>304</v>
      </c>
      <c r="Y560" s="161">
        <v>0.02</v>
      </c>
      <c r="Z560" s="161">
        <v>8</v>
      </c>
      <c r="AA560" s="161" t="s">
        <v>77</v>
      </c>
      <c r="AB560" s="161" t="s">
        <v>114</v>
      </c>
      <c r="AC560" s="266" t="str">
        <f>HYPERLINK("https://gcsvt.ru/svetodiodnyie-svetilniki/svt-str-mpro-102w-20-duo/","Ссылка")</f>
        <v>Ссылка</v>
      </c>
      <c r="AD560" s="167">
        <v>32629</v>
      </c>
    </row>
    <row r="561" spans="1:30" s="161" customFormat="1" ht="39.950000000000003" hidden="1" customHeight="1" outlineLevel="2" x14ac:dyDescent="0.25">
      <c r="A561" s="171"/>
      <c r="B561" s="21" t="s">
        <v>254</v>
      </c>
      <c r="C561" s="159" t="s">
        <v>305</v>
      </c>
      <c r="D561" s="161">
        <v>33456</v>
      </c>
      <c r="E561" s="161">
        <v>204</v>
      </c>
      <c r="F561" s="161">
        <v>164</v>
      </c>
      <c r="G561" s="161" t="s">
        <v>306</v>
      </c>
      <c r="H561" s="161" t="s">
        <v>180</v>
      </c>
      <c r="I561" s="161">
        <v>67</v>
      </c>
      <c r="J561" s="161" t="s">
        <v>105</v>
      </c>
      <c r="K561" s="21" t="s">
        <v>106</v>
      </c>
      <c r="L561" s="161" t="s">
        <v>3380</v>
      </c>
      <c r="M561" s="21" t="s">
        <v>235</v>
      </c>
      <c r="N561" s="161" t="s">
        <v>67</v>
      </c>
      <c r="O561" s="21" t="s">
        <v>68</v>
      </c>
      <c r="P561" s="161" t="s">
        <v>109</v>
      </c>
      <c r="Q561" s="21" t="s">
        <v>70</v>
      </c>
      <c r="R561" s="161">
        <v>70</v>
      </c>
      <c r="S561" s="161" t="s">
        <v>3224</v>
      </c>
      <c r="T561" s="161" t="s">
        <v>174</v>
      </c>
      <c r="U561" s="161" t="s">
        <v>73</v>
      </c>
      <c r="V561" s="21" t="s">
        <v>74</v>
      </c>
      <c r="W561" s="21" t="s">
        <v>257</v>
      </c>
      <c r="X561" s="161" t="s">
        <v>304</v>
      </c>
      <c r="Y561" s="161">
        <v>0.02</v>
      </c>
      <c r="Z561" s="161">
        <v>8</v>
      </c>
      <c r="AA561" s="161" t="s">
        <v>77</v>
      </c>
      <c r="AB561" s="161" t="s">
        <v>114</v>
      </c>
      <c r="AC561" s="266" t="str">
        <f>HYPERLINK("https://gcsvt.ru/svetodiodnyie-svetilniki/svt-str-mpro-102w-35-duo/","Ссылка")</f>
        <v>Ссылка</v>
      </c>
      <c r="AD561" s="167">
        <v>32629</v>
      </c>
    </row>
    <row r="562" spans="1:30" s="161" customFormat="1" ht="39.950000000000003" hidden="1" customHeight="1" outlineLevel="2" x14ac:dyDescent="0.25">
      <c r="A562" s="171"/>
      <c r="B562" s="21" t="s">
        <v>254</v>
      </c>
      <c r="C562" s="159" t="s">
        <v>307</v>
      </c>
      <c r="D562" s="161">
        <v>33456</v>
      </c>
      <c r="E562" s="161">
        <v>204</v>
      </c>
      <c r="F562" s="161">
        <v>164</v>
      </c>
      <c r="G562" s="161" t="s">
        <v>308</v>
      </c>
      <c r="H562" s="161" t="s">
        <v>183</v>
      </c>
      <c r="I562" s="161">
        <v>67</v>
      </c>
      <c r="J562" s="161" t="s">
        <v>105</v>
      </c>
      <c r="K562" s="21" t="s">
        <v>106</v>
      </c>
      <c r="L562" s="161" t="s">
        <v>3380</v>
      </c>
      <c r="M562" s="21" t="s">
        <v>235</v>
      </c>
      <c r="N562" s="161" t="s">
        <v>67</v>
      </c>
      <c r="O562" s="21" t="s">
        <v>68</v>
      </c>
      <c r="P562" s="161" t="s">
        <v>109</v>
      </c>
      <c r="Q562" s="21" t="s">
        <v>70</v>
      </c>
      <c r="R562" s="161">
        <v>70</v>
      </c>
      <c r="S562" s="161" t="s">
        <v>3224</v>
      </c>
      <c r="T562" s="161" t="s">
        <v>174</v>
      </c>
      <c r="U562" s="161" t="s">
        <v>73</v>
      </c>
      <c r="V562" s="21" t="s">
        <v>74</v>
      </c>
      <c r="W562" s="21" t="s">
        <v>257</v>
      </c>
      <c r="X562" s="161" t="s">
        <v>304</v>
      </c>
      <c r="Y562" s="161">
        <v>0.02</v>
      </c>
      <c r="Z562" s="161">
        <v>8</v>
      </c>
      <c r="AA562" s="161" t="s">
        <v>77</v>
      </c>
      <c r="AB562" s="161" t="s">
        <v>114</v>
      </c>
      <c r="AC562" s="266" t="str">
        <f>HYPERLINK("https://gcsvt.ru/svetodiodnyie-svetilniki/svt-str-mpro-102w-65-duo/","Ссылка")</f>
        <v>Ссылка</v>
      </c>
      <c r="AD562" s="167">
        <v>32629</v>
      </c>
    </row>
    <row r="563" spans="1:30" s="161" customFormat="1" ht="39.950000000000003" hidden="1" customHeight="1" outlineLevel="2" x14ac:dyDescent="0.25">
      <c r="A563" s="171"/>
      <c r="B563" s="21" t="s">
        <v>254</v>
      </c>
      <c r="C563" s="159" t="s">
        <v>309</v>
      </c>
      <c r="D563" s="161">
        <v>33456</v>
      </c>
      <c r="E563" s="161">
        <v>204</v>
      </c>
      <c r="F563" s="161">
        <v>164</v>
      </c>
      <c r="G563" s="161" t="s">
        <v>310</v>
      </c>
      <c r="H563" s="161" t="s">
        <v>186</v>
      </c>
      <c r="I563" s="161">
        <v>67</v>
      </c>
      <c r="J563" s="161" t="s">
        <v>105</v>
      </c>
      <c r="K563" s="21" t="s">
        <v>106</v>
      </c>
      <c r="L563" s="161" t="s">
        <v>3380</v>
      </c>
      <c r="M563" s="21" t="s">
        <v>235</v>
      </c>
      <c r="N563" s="161" t="s">
        <v>67</v>
      </c>
      <c r="O563" s="21" t="s">
        <v>68</v>
      </c>
      <c r="P563" s="161" t="s">
        <v>109</v>
      </c>
      <c r="Q563" s="21" t="s">
        <v>70</v>
      </c>
      <c r="R563" s="161">
        <v>70</v>
      </c>
      <c r="S563" s="161" t="s">
        <v>3224</v>
      </c>
      <c r="T563" s="161" t="s">
        <v>174</v>
      </c>
      <c r="U563" s="161" t="s">
        <v>73</v>
      </c>
      <c r="V563" s="21" t="s">
        <v>74</v>
      </c>
      <c r="W563" s="21" t="s">
        <v>257</v>
      </c>
      <c r="X563" s="161" t="s">
        <v>304</v>
      </c>
      <c r="Y563" s="161">
        <v>0.02</v>
      </c>
      <c r="Z563" s="161">
        <v>8</v>
      </c>
      <c r="AA563" s="161" t="s">
        <v>77</v>
      </c>
      <c r="AB563" s="161" t="s">
        <v>114</v>
      </c>
      <c r="AC563" s="266" t="str">
        <f>HYPERLINK("https://gcsvt.ru/svetodiodnyie-svetilniki/svt-str-mpro-102w-100-duo/","Ссылка")</f>
        <v>Ссылка</v>
      </c>
      <c r="AD563" s="167">
        <v>32629</v>
      </c>
    </row>
    <row r="564" spans="1:30" s="161" customFormat="1" ht="39.950000000000003" hidden="1" customHeight="1" outlineLevel="2" x14ac:dyDescent="0.25">
      <c r="A564" s="171"/>
      <c r="B564" s="21" t="s">
        <v>254</v>
      </c>
      <c r="C564" s="159" t="s">
        <v>311</v>
      </c>
      <c r="D564" s="161">
        <v>33456</v>
      </c>
      <c r="E564" s="161">
        <v>204</v>
      </c>
      <c r="F564" s="161">
        <v>164</v>
      </c>
      <c r="G564" s="161" t="s">
        <v>312</v>
      </c>
      <c r="H564" s="161" t="s">
        <v>189</v>
      </c>
      <c r="I564" s="161">
        <v>67</v>
      </c>
      <c r="J564" s="161" t="s">
        <v>105</v>
      </c>
      <c r="K564" s="21" t="s">
        <v>106</v>
      </c>
      <c r="L564" s="161" t="s">
        <v>3380</v>
      </c>
      <c r="M564" s="21" t="s">
        <v>235</v>
      </c>
      <c r="N564" s="161" t="s">
        <v>67</v>
      </c>
      <c r="O564" s="21" t="s">
        <v>68</v>
      </c>
      <c r="P564" s="161" t="s">
        <v>109</v>
      </c>
      <c r="Q564" s="21" t="s">
        <v>70</v>
      </c>
      <c r="R564" s="161">
        <v>70</v>
      </c>
      <c r="S564" s="161" t="s">
        <v>3224</v>
      </c>
      <c r="T564" s="161" t="s">
        <v>174</v>
      </c>
      <c r="U564" s="161" t="s">
        <v>73</v>
      </c>
      <c r="V564" s="21" t="s">
        <v>74</v>
      </c>
      <c r="W564" s="21" t="s">
        <v>257</v>
      </c>
      <c r="X564" s="161" t="s">
        <v>304</v>
      </c>
      <c r="Y564" s="161">
        <v>0.02</v>
      </c>
      <c r="Z564" s="161">
        <v>8</v>
      </c>
      <c r="AA564" s="161" t="s">
        <v>77</v>
      </c>
      <c r="AB564" s="161" t="s">
        <v>114</v>
      </c>
      <c r="AC564" s="266" t="str">
        <f>HYPERLINK("https://gcsvt.ru/svetodiodnyie-svetilniki/svt-str-mpro-102w-30x120-duo/","Ссылка")</f>
        <v>Ссылка</v>
      </c>
      <c r="AD564" s="167">
        <v>32629</v>
      </c>
    </row>
    <row r="565" spans="1:30" s="161" customFormat="1" ht="39.950000000000003" hidden="1" customHeight="1" outlineLevel="2" x14ac:dyDescent="0.25">
      <c r="A565" s="171"/>
      <c r="B565" s="21" t="s">
        <v>254</v>
      </c>
      <c r="C565" s="159" t="s">
        <v>313</v>
      </c>
      <c r="D565" s="161">
        <v>33456</v>
      </c>
      <c r="E565" s="161">
        <v>204</v>
      </c>
      <c r="F565" s="161">
        <v>164</v>
      </c>
      <c r="G565" s="161" t="s">
        <v>314</v>
      </c>
      <c r="H565" s="161" t="s">
        <v>192</v>
      </c>
      <c r="I565" s="161">
        <v>67</v>
      </c>
      <c r="J565" s="161" t="s">
        <v>105</v>
      </c>
      <c r="K565" s="21" t="s">
        <v>106</v>
      </c>
      <c r="L565" s="161" t="s">
        <v>3380</v>
      </c>
      <c r="M565" s="21" t="s">
        <v>235</v>
      </c>
      <c r="N565" s="161" t="s">
        <v>67</v>
      </c>
      <c r="O565" s="21" t="s">
        <v>68</v>
      </c>
      <c r="P565" s="161" t="s">
        <v>109</v>
      </c>
      <c r="Q565" s="21" t="s">
        <v>70</v>
      </c>
      <c r="R565" s="161">
        <v>70</v>
      </c>
      <c r="S565" s="161" t="s">
        <v>3224</v>
      </c>
      <c r="T565" s="161" t="s">
        <v>174</v>
      </c>
      <c r="U565" s="161" t="s">
        <v>73</v>
      </c>
      <c r="V565" s="21" t="s">
        <v>74</v>
      </c>
      <c r="W565" s="21" t="s">
        <v>257</v>
      </c>
      <c r="X565" s="161" t="s">
        <v>304</v>
      </c>
      <c r="Y565" s="161">
        <v>0.02</v>
      </c>
      <c r="Z565" s="161">
        <v>8</v>
      </c>
      <c r="AA565" s="161" t="s">
        <v>77</v>
      </c>
      <c r="AB565" s="161" t="s">
        <v>114</v>
      </c>
      <c r="AC565" s="266" t="str">
        <f>HYPERLINK("https://gcsvt.ru/svetodiodnyie-svetilniki/svt-str-mpro-102w-vsm-duo/","Ссылка")</f>
        <v>Ссылка</v>
      </c>
      <c r="AD565" s="167">
        <v>32629</v>
      </c>
    </row>
    <row r="566" spans="1:30" s="161" customFormat="1" ht="39.950000000000003" hidden="1" customHeight="1" outlineLevel="2" x14ac:dyDescent="0.25">
      <c r="A566" s="171"/>
      <c r="B566" s="21" t="s">
        <v>254</v>
      </c>
      <c r="C566" s="159" t="s">
        <v>315</v>
      </c>
      <c r="D566" s="161">
        <v>33456</v>
      </c>
      <c r="E566" s="161">
        <v>204</v>
      </c>
      <c r="F566" s="161">
        <v>164</v>
      </c>
      <c r="G566" s="161" t="s">
        <v>316</v>
      </c>
      <c r="H566" s="161" t="s">
        <v>63</v>
      </c>
      <c r="I566" s="161">
        <v>67</v>
      </c>
      <c r="J566" s="161" t="s">
        <v>105</v>
      </c>
      <c r="K566" s="21" t="s">
        <v>106</v>
      </c>
      <c r="L566" s="161" t="s">
        <v>3380</v>
      </c>
      <c r="M566" s="21" t="s">
        <v>235</v>
      </c>
      <c r="N566" s="161" t="s">
        <v>67</v>
      </c>
      <c r="O566" s="21" t="s">
        <v>68</v>
      </c>
      <c r="P566" s="161" t="s">
        <v>109</v>
      </c>
      <c r="Q566" s="21" t="s">
        <v>70</v>
      </c>
      <c r="R566" s="161">
        <v>70</v>
      </c>
      <c r="S566" s="161" t="s">
        <v>3224</v>
      </c>
      <c r="T566" s="161" t="s">
        <v>174</v>
      </c>
      <c r="U566" s="161" t="s">
        <v>73</v>
      </c>
      <c r="V566" s="21" t="s">
        <v>74</v>
      </c>
      <c r="W566" s="21" t="s">
        <v>257</v>
      </c>
      <c r="X566" s="161" t="s">
        <v>304</v>
      </c>
      <c r="Y566" s="161">
        <v>0.02</v>
      </c>
      <c r="Z566" s="161">
        <v>8</v>
      </c>
      <c r="AA566" s="161" t="s">
        <v>77</v>
      </c>
      <c r="AB566" s="161" t="s">
        <v>114</v>
      </c>
      <c r="AC566" s="266" t="str">
        <f>HYPERLINK("https://gcsvt.ru/svetodiodnyie-svetilniki/svt-str-mpro-102w-45x140-duo/","Ссылка")</f>
        <v>Ссылка</v>
      </c>
      <c r="AD566" s="167">
        <v>32629</v>
      </c>
    </row>
    <row r="567" spans="1:30" s="161" customFormat="1" ht="39.950000000000003" hidden="1" customHeight="1" outlineLevel="2" x14ac:dyDescent="0.25">
      <c r="A567" s="171"/>
      <c r="B567" s="21" t="s">
        <v>254</v>
      </c>
      <c r="C567" s="159" t="s">
        <v>317</v>
      </c>
      <c r="D567" s="161">
        <v>39816</v>
      </c>
      <c r="E567" s="161">
        <v>237</v>
      </c>
      <c r="F567" s="161">
        <v>168</v>
      </c>
      <c r="G567" s="161" t="s">
        <v>318</v>
      </c>
      <c r="H567" s="161" t="s">
        <v>63</v>
      </c>
      <c r="I567" s="161">
        <v>67</v>
      </c>
      <c r="J567" s="161" t="s">
        <v>105</v>
      </c>
      <c r="K567" s="21" t="s">
        <v>106</v>
      </c>
      <c r="L567" s="161" t="s">
        <v>3380</v>
      </c>
      <c r="M567" s="21" t="s">
        <v>157</v>
      </c>
      <c r="N567" s="161" t="s">
        <v>67</v>
      </c>
      <c r="O567" s="21" t="s">
        <v>68</v>
      </c>
      <c r="P567" s="161" t="s">
        <v>109</v>
      </c>
      <c r="Q567" s="21" t="s">
        <v>70</v>
      </c>
      <c r="R567" s="161">
        <v>70</v>
      </c>
      <c r="S567" s="161" t="s">
        <v>3225</v>
      </c>
      <c r="T567" s="161" t="s">
        <v>174</v>
      </c>
      <c r="U567" s="161" t="s">
        <v>73</v>
      </c>
      <c r="V567" s="21" t="s">
        <v>74</v>
      </c>
      <c r="W567" s="21" t="s">
        <v>160</v>
      </c>
      <c r="X567" s="161" t="s">
        <v>320</v>
      </c>
      <c r="Y567" s="161">
        <v>0.03</v>
      </c>
      <c r="Z567" s="161">
        <v>7</v>
      </c>
      <c r="AA567" s="161" t="s">
        <v>77</v>
      </c>
      <c r="AB567" s="161" t="s">
        <v>114</v>
      </c>
      <c r="AC567" s="266" t="str">
        <f>HYPERLINK("https://gcsvt.ru/svetodiodnyie-svetilniki/svt-str-mpro-79w-45x140-trio-c/","Ссылка")</f>
        <v>Ссылка</v>
      </c>
      <c r="AD567" s="167">
        <v>39248</v>
      </c>
    </row>
    <row r="568" spans="1:30" s="161" customFormat="1" ht="39.950000000000003" hidden="1" customHeight="1" outlineLevel="2" x14ac:dyDescent="0.25">
      <c r="A568" s="171"/>
      <c r="B568" s="21" t="s">
        <v>254</v>
      </c>
      <c r="C568" s="159" t="s">
        <v>321</v>
      </c>
      <c r="D568" s="161">
        <v>39816</v>
      </c>
      <c r="E568" s="161">
        <v>237</v>
      </c>
      <c r="F568" s="161">
        <v>168</v>
      </c>
      <c r="G568" s="161" t="s">
        <v>322</v>
      </c>
      <c r="H568" s="161" t="s">
        <v>177</v>
      </c>
      <c r="I568" s="161">
        <v>67</v>
      </c>
      <c r="J568" s="161" t="s">
        <v>105</v>
      </c>
      <c r="K568" s="21" t="s">
        <v>106</v>
      </c>
      <c r="L568" s="161" t="s">
        <v>3380</v>
      </c>
      <c r="M568" s="21" t="s">
        <v>157</v>
      </c>
      <c r="N568" s="161" t="s">
        <v>67</v>
      </c>
      <c r="O568" s="21" t="s">
        <v>68</v>
      </c>
      <c r="P568" s="161" t="s">
        <v>109</v>
      </c>
      <c r="Q568" s="21" t="s">
        <v>70</v>
      </c>
      <c r="R568" s="161">
        <v>70</v>
      </c>
      <c r="S568" s="161" t="s">
        <v>3225</v>
      </c>
      <c r="T568" s="161" t="s">
        <v>174</v>
      </c>
      <c r="U568" s="161" t="s">
        <v>73</v>
      </c>
      <c r="V568" s="21" t="s">
        <v>74</v>
      </c>
      <c r="W568" s="21" t="s">
        <v>257</v>
      </c>
      <c r="X568" s="161" t="s">
        <v>323</v>
      </c>
      <c r="Y568" s="161">
        <v>0.03</v>
      </c>
      <c r="Z568" s="161">
        <v>9</v>
      </c>
      <c r="AA568" s="161" t="s">
        <v>77</v>
      </c>
      <c r="AB568" s="161" t="s">
        <v>114</v>
      </c>
      <c r="AC568" s="266" t="str">
        <f>HYPERLINK("https://gcsvt.ru/svetodiodnyie-svetilniki/svt-str-mpro-79w-20-trio/","Ссылка")</f>
        <v>Ссылка</v>
      </c>
      <c r="AD568" s="167">
        <v>39248</v>
      </c>
    </row>
    <row r="569" spans="1:30" s="161" customFormat="1" ht="39.950000000000003" hidden="1" customHeight="1" outlineLevel="2" x14ac:dyDescent="0.25">
      <c r="A569" s="171"/>
      <c r="B569" s="21" t="s">
        <v>254</v>
      </c>
      <c r="C569" s="159" t="s">
        <v>324</v>
      </c>
      <c r="D569" s="161">
        <v>39816</v>
      </c>
      <c r="E569" s="161">
        <v>237</v>
      </c>
      <c r="F569" s="161">
        <v>168</v>
      </c>
      <c r="G569" s="161" t="s">
        <v>325</v>
      </c>
      <c r="H569" s="161" t="s">
        <v>180</v>
      </c>
      <c r="I569" s="161">
        <v>67</v>
      </c>
      <c r="J569" s="161" t="s">
        <v>105</v>
      </c>
      <c r="K569" s="21" t="s">
        <v>106</v>
      </c>
      <c r="L569" s="161" t="s">
        <v>3380</v>
      </c>
      <c r="M569" s="21" t="s">
        <v>157</v>
      </c>
      <c r="N569" s="161" t="s">
        <v>67</v>
      </c>
      <c r="O569" s="21" t="s">
        <v>68</v>
      </c>
      <c r="P569" s="161" t="s">
        <v>109</v>
      </c>
      <c r="Q569" s="21" t="s">
        <v>70</v>
      </c>
      <c r="R569" s="161">
        <v>70</v>
      </c>
      <c r="S569" s="161" t="s">
        <v>3225</v>
      </c>
      <c r="T569" s="161" t="s">
        <v>174</v>
      </c>
      <c r="U569" s="161" t="s">
        <v>73</v>
      </c>
      <c r="V569" s="21" t="s">
        <v>74</v>
      </c>
      <c r="W569" s="21" t="s">
        <v>257</v>
      </c>
      <c r="X569" s="161" t="s">
        <v>323</v>
      </c>
      <c r="Y569" s="161">
        <v>0.03</v>
      </c>
      <c r="Z569" s="161">
        <v>9</v>
      </c>
      <c r="AA569" s="161" t="s">
        <v>77</v>
      </c>
      <c r="AB569" s="161" t="s">
        <v>114</v>
      </c>
      <c r="AC569" s="266" t="str">
        <f>HYPERLINK("https://gcsvt.ru/svetodiodnyie-svetilniki/svt-str-mpro-79w-35-trio/","Ссылка")</f>
        <v>Ссылка</v>
      </c>
      <c r="AD569" s="167">
        <v>39248</v>
      </c>
    </row>
    <row r="570" spans="1:30" s="161" customFormat="1" ht="39.950000000000003" hidden="1" customHeight="1" outlineLevel="2" x14ac:dyDescent="0.25">
      <c r="A570" s="171"/>
      <c r="B570" s="21" t="s">
        <v>254</v>
      </c>
      <c r="C570" s="159" t="s">
        <v>326</v>
      </c>
      <c r="D570" s="161">
        <v>39816</v>
      </c>
      <c r="E570" s="161">
        <v>237</v>
      </c>
      <c r="F570" s="161">
        <v>168</v>
      </c>
      <c r="G570" s="161" t="s">
        <v>327</v>
      </c>
      <c r="H570" s="161" t="s">
        <v>183</v>
      </c>
      <c r="I570" s="161">
        <v>67</v>
      </c>
      <c r="J570" s="161" t="s">
        <v>105</v>
      </c>
      <c r="K570" s="21" t="s">
        <v>106</v>
      </c>
      <c r="L570" s="161" t="s">
        <v>3380</v>
      </c>
      <c r="M570" s="21" t="s">
        <v>157</v>
      </c>
      <c r="N570" s="161" t="s">
        <v>67</v>
      </c>
      <c r="O570" s="21" t="s">
        <v>68</v>
      </c>
      <c r="P570" s="161" t="s">
        <v>109</v>
      </c>
      <c r="Q570" s="21" t="s">
        <v>70</v>
      </c>
      <c r="R570" s="161">
        <v>70</v>
      </c>
      <c r="S570" s="161" t="s">
        <v>3225</v>
      </c>
      <c r="T570" s="161" t="s">
        <v>174</v>
      </c>
      <c r="U570" s="161" t="s">
        <v>73</v>
      </c>
      <c r="V570" s="21" t="s">
        <v>74</v>
      </c>
      <c r="W570" s="21" t="s">
        <v>257</v>
      </c>
      <c r="X570" s="161" t="s">
        <v>323</v>
      </c>
      <c r="Y570" s="161">
        <v>0.03</v>
      </c>
      <c r="Z570" s="161">
        <v>9</v>
      </c>
      <c r="AA570" s="161" t="s">
        <v>77</v>
      </c>
      <c r="AB570" s="161" t="s">
        <v>114</v>
      </c>
      <c r="AC570" s="266" t="str">
        <f>HYPERLINK("https://gcsvt.ru/svetodiodnyie-svetilniki/svt-str-mpro-79w-65-trio/","Ссылка")</f>
        <v>Ссылка</v>
      </c>
      <c r="AD570" s="167">
        <v>39248</v>
      </c>
    </row>
    <row r="571" spans="1:30" s="161" customFormat="1" ht="39.950000000000003" hidden="1" customHeight="1" outlineLevel="2" x14ac:dyDescent="0.25">
      <c r="A571" s="171"/>
      <c r="B571" s="21" t="s">
        <v>254</v>
      </c>
      <c r="C571" s="159" t="s">
        <v>328</v>
      </c>
      <c r="D571" s="161">
        <v>39816</v>
      </c>
      <c r="E571" s="161">
        <v>237</v>
      </c>
      <c r="F571" s="161">
        <v>168</v>
      </c>
      <c r="G571" s="161" t="s">
        <v>329</v>
      </c>
      <c r="H571" s="161" t="s">
        <v>186</v>
      </c>
      <c r="I571" s="161">
        <v>67</v>
      </c>
      <c r="J571" s="161" t="s">
        <v>105</v>
      </c>
      <c r="K571" s="21" t="s">
        <v>106</v>
      </c>
      <c r="L571" s="161" t="s">
        <v>3380</v>
      </c>
      <c r="M571" s="21" t="s">
        <v>157</v>
      </c>
      <c r="N571" s="161" t="s">
        <v>67</v>
      </c>
      <c r="O571" s="21" t="s">
        <v>68</v>
      </c>
      <c r="P571" s="161" t="s">
        <v>109</v>
      </c>
      <c r="Q571" s="21" t="s">
        <v>70</v>
      </c>
      <c r="R571" s="161">
        <v>70</v>
      </c>
      <c r="S571" s="161" t="s">
        <v>3225</v>
      </c>
      <c r="T571" s="161" t="s">
        <v>174</v>
      </c>
      <c r="U571" s="161" t="s">
        <v>73</v>
      </c>
      <c r="V571" s="21" t="s">
        <v>74</v>
      </c>
      <c r="W571" s="21" t="s">
        <v>257</v>
      </c>
      <c r="X571" s="161" t="s">
        <v>323</v>
      </c>
      <c r="Y571" s="161">
        <v>0.03</v>
      </c>
      <c r="Z571" s="161">
        <v>9</v>
      </c>
      <c r="AA571" s="161" t="s">
        <v>77</v>
      </c>
      <c r="AB571" s="161" t="s">
        <v>114</v>
      </c>
      <c r="AC571" s="266" t="str">
        <f>HYPERLINK("https://gcsvt.ru/svetodiodnyie-svetilniki/svt-str-mpro-79w-100-trio/","Ссылка")</f>
        <v>Ссылка</v>
      </c>
      <c r="AD571" s="167">
        <v>39248</v>
      </c>
    </row>
    <row r="572" spans="1:30" s="161" customFormat="1" ht="39.950000000000003" hidden="1" customHeight="1" outlineLevel="2" x14ac:dyDescent="0.25">
      <c r="A572" s="171"/>
      <c r="B572" s="21" t="s">
        <v>254</v>
      </c>
      <c r="C572" s="159" t="s">
        <v>330</v>
      </c>
      <c r="D572" s="161">
        <v>39816</v>
      </c>
      <c r="E572" s="161">
        <v>237</v>
      </c>
      <c r="F572" s="161">
        <v>168</v>
      </c>
      <c r="G572" s="161" t="s">
        <v>331</v>
      </c>
      <c r="H572" s="161" t="s">
        <v>189</v>
      </c>
      <c r="I572" s="161">
        <v>67</v>
      </c>
      <c r="J572" s="161" t="s">
        <v>105</v>
      </c>
      <c r="K572" s="21" t="s">
        <v>106</v>
      </c>
      <c r="L572" s="161" t="s">
        <v>3380</v>
      </c>
      <c r="M572" s="21" t="s">
        <v>157</v>
      </c>
      <c r="N572" s="161" t="s">
        <v>67</v>
      </c>
      <c r="O572" s="21" t="s">
        <v>68</v>
      </c>
      <c r="P572" s="161" t="s">
        <v>109</v>
      </c>
      <c r="Q572" s="21" t="s">
        <v>70</v>
      </c>
      <c r="R572" s="161">
        <v>70</v>
      </c>
      <c r="S572" s="161" t="s">
        <v>3225</v>
      </c>
      <c r="T572" s="161" t="s">
        <v>174</v>
      </c>
      <c r="U572" s="161" t="s">
        <v>73</v>
      </c>
      <c r="V572" s="21" t="s">
        <v>74</v>
      </c>
      <c r="W572" s="21" t="s">
        <v>257</v>
      </c>
      <c r="X572" s="161" t="s">
        <v>323</v>
      </c>
      <c r="Y572" s="161">
        <v>0.03</v>
      </c>
      <c r="Z572" s="161">
        <v>9</v>
      </c>
      <c r="AA572" s="161" t="s">
        <v>77</v>
      </c>
      <c r="AB572" s="161" t="s">
        <v>114</v>
      </c>
      <c r="AC572" s="266" t="str">
        <f>HYPERLINK("https://gcsvt.ru/svetodiodnyie-svetilniki/svt-str-mpro-79w-30x120-trio/","Ссылка")</f>
        <v>Ссылка</v>
      </c>
      <c r="AD572" s="167">
        <v>39248</v>
      </c>
    </row>
    <row r="573" spans="1:30" s="161" customFormat="1" ht="39.950000000000003" hidden="1" customHeight="1" outlineLevel="2" x14ac:dyDescent="0.25">
      <c r="A573" s="171"/>
      <c r="B573" s="21" t="s">
        <v>254</v>
      </c>
      <c r="C573" s="159" t="s">
        <v>332</v>
      </c>
      <c r="D573" s="161">
        <v>39816</v>
      </c>
      <c r="E573" s="161">
        <v>237</v>
      </c>
      <c r="F573" s="161">
        <v>168</v>
      </c>
      <c r="G573" s="161" t="s">
        <v>333</v>
      </c>
      <c r="H573" s="161" t="s">
        <v>192</v>
      </c>
      <c r="I573" s="161">
        <v>67</v>
      </c>
      <c r="J573" s="161" t="s">
        <v>105</v>
      </c>
      <c r="K573" s="21" t="s">
        <v>106</v>
      </c>
      <c r="L573" s="161" t="s">
        <v>3380</v>
      </c>
      <c r="M573" s="21" t="s">
        <v>157</v>
      </c>
      <c r="N573" s="161" t="s">
        <v>67</v>
      </c>
      <c r="O573" s="21" t="s">
        <v>68</v>
      </c>
      <c r="P573" s="161" t="s">
        <v>109</v>
      </c>
      <c r="Q573" s="21" t="s">
        <v>70</v>
      </c>
      <c r="R573" s="161">
        <v>70</v>
      </c>
      <c r="S573" s="161" t="s">
        <v>3225</v>
      </c>
      <c r="T573" s="161" t="s">
        <v>174</v>
      </c>
      <c r="U573" s="161" t="s">
        <v>73</v>
      </c>
      <c r="V573" s="21" t="s">
        <v>74</v>
      </c>
      <c r="W573" s="21" t="s">
        <v>257</v>
      </c>
      <c r="X573" s="161" t="s">
        <v>323</v>
      </c>
      <c r="Y573" s="161">
        <v>0.03</v>
      </c>
      <c r="Z573" s="161">
        <v>9</v>
      </c>
      <c r="AA573" s="161" t="s">
        <v>77</v>
      </c>
      <c r="AB573" s="161" t="s">
        <v>114</v>
      </c>
      <c r="AC573" s="266" t="str">
        <f>HYPERLINK("https://gcsvt.ru/svetodiodnyie-svetilniki/svt-str-mpro-79w-vsm-trio/","Ссылка")</f>
        <v>Ссылка</v>
      </c>
      <c r="AD573" s="167">
        <v>39248</v>
      </c>
    </row>
    <row r="574" spans="1:30" s="161" customFormat="1" ht="39.950000000000003" hidden="1" customHeight="1" outlineLevel="2" x14ac:dyDescent="0.25">
      <c r="A574" s="171"/>
      <c r="B574" s="21" t="s">
        <v>254</v>
      </c>
      <c r="C574" s="159" t="s">
        <v>334</v>
      </c>
      <c r="D574" s="161">
        <v>39816</v>
      </c>
      <c r="E574" s="161">
        <v>237</v>
      </c>
      <c r="F574" s="161">
        <v>168</v>
      </c>
      <c r="G574" s="161" t="s">
        <v>335</v>
      </c>
      <c r="H574" s="161" t="s">
        <v>63</v>
      </c>
      <c r="I574" s="161">
        <v>67</v>
      </c>
      <c r="J574" s="161" t="s">
        <v>105</v>
      </c>
      <c r="K574" s="21" t="s">
        <v>106</v>
      </c>
      <c r="L574" s="161" t="s">
        <v>3380</v>
      </c>
      <c r="M574" s="21" t="s">
        <v>157</v>
      </c>
      <c r="N574" s="161" t="s">
        <v>67</v>
      </c>
      <c r="O574" s="21" t="s">
        <v>68</v>
      </c>
      <c r="P574" s="161" t="s">
        <v>109</v>
      </c>
      <c r="Q574" s="21" t="s">
        <v>70</v>
      </c>
      <c r="R574" s="161">
        <v>70</v>
      </c>
      <c r="S574" s="161" t="s">
        <v>3225</v>
      </c>
      <c r="T574" s="161" t="s">
        <v>174</v>
      </c>
      <c r="U574" s="161" t="s">
        <v>73</v>
      </c>
      <c r="V574" s="21" t="s">
        <v>74</v>
      </c>
      <c r="W574" s="21" t="s">
        <v>257</v>
      </c>
      <c r="X574" s="161" t="s">
        <v>323</v>
      </c>
      <c r="Y574" s="161">
        <v>0.03</v>
      </c>
      <c r="Z574" s="161">
        <v>9</v>
      </c>
      <c r="AA574" s="161" t="s">
        <v>77</v>
      </c>
      <c r="AB574" s="161" t="s">
        <v>114</v>
      </c>
      <c r="AC574" s="266" t="str">
        <f>HYPERLINK("https://gcsvt.ru/svetodiodnyie-svetilniki/svt-str-mpro-79w-45x140-trio/","Ссылка")</f>
        <v>Ссылка</v>
      </c>
      <c r="AD574" s="167">
        <v>39248</v>
      </c>
    </row>
    <row r="575" spans="1:30" s="161" customFormat="1" ht="39.950000000000003" hidden="1" customHeight="1" outlineLevel="2" x14ac:dyDescent="0.25">
      <c r="A575" s="171"/>
      <c r="B575" s="21" t="s">
        <v>254</v>
      </c>
      <c r="C575" s="159" t="s">
        <v>336</v>
      </c>
      <c r="D575" s="161">
        <v>50184</v>
      </c>
      <c r="E575" s="161">
        <v>306</v>
      </c>
      <c r="F575" s="161">
        <v>164</v>
      </c>
      <c r="G575" s="161" t="s">
        <v>337</v>
      </c>
      <c r="H575" s="161" t="s">
        <v>63</v>
      </c>
      <c r="I575" s="161">
        <v>67</v>
      </c>
      <c r="J575" s="161" t="s">
        <v>105</v>
      </c>
      <c r="K575" s="21" t="s">
        <v>106</v>
      </c>
      <c r="L575" s="161" t="s">
        <v>3380</v>
      </c>
      <c r="M575" s="21" t="s">
        <v>235</v>
      </c>
      <c r="N575" s="161" t="s">
        <v>67</v>
      </c>
      <c r="O575" s="21" t="s">
        <v>68</v>
      </c>
      <c r="P575" s="161" t="s">
        <v>109</v>
      </c>
      <c r="Q575" s="21" t="s">
        <v>70</v>
      </c>
      <c r="R575" s="161">
        <v>70</v>
      </c>
      <c r="S575" s="161" t="s">
        <v>3226</v>
      </c>
      <c r="T575" s="161" t="s">
        <v>174</v>
      </c>
      <c r="U575" s="161" t="s">
        <v>73</v>
      </c>
      <c r="V575" s="21" t="s">
        <v>74</v>
      </c>
      <c r="W575" s="21" t="s">
        <v>160</v>
      </c>
      <c r="X575" s="161" t="s">
        <v>339</v>
      </c>
      <c r="Y575" s="161">
        <v>0.03</v>
      </c>
      <c r="Z575" s="161">
        <v>11.5</v>
      </c>
      <c r="AA575" s="161" t="s">
        <v>77</v>
      </c>
      <c r="AB575" s="161" t="s">
        <v>114</v>
      </c>
      <c r="AC575" s="266" t="str">
        <f>HYPERLINK("https://gcsvt.ru/svetodiodnyie-svetilniki/svt-str-mpro-102w-45x140-trio-c/","Ссылка")</f>
        <v>Ссылка</v>
      </c>
      <c r="AD575" s="167">
        <v>48943</v>
      </c>
    </row>
    <row r="576" spans="1:30" s="161" customFormat="1" ht="39.950000000000003" hidden="1" customHeight="1" outlineLevel="2" x14ac:dyDescent="0.25">
      <c r="A576" s="171"/>
      <c r="B576" s="21" t="s">
        <v>254</v>
      </c>
      <c r="C576" s="159" t="s">
        <v>340</v>
      </c>
      <c r="D576" s="161">
        <v>50184</v>
      </c>
      <c r="E576" s="161">
        <v>306</v>
      </c>
      <c r="F576" s="161">
        <v>164</v>
      </c>
      <c r="G576" s="161" t="s">
        <v>341</v>
      </c>
      <c r="H576" s="161" t="s">
        <v>177</v>
      </c>
      <c r="I576" s="161">
        <v>67</v>
      </c>
      <c r="J576" s="161" t="s">
        <v>105</v>
      </c>
      <c r="K576" s="21" t="s">
        <v>106</v>
      </c>
      <c r="L576" s="161" t="s">
        <v>3380</v>
      </c>
      <c r="M576" s="21" t="s">
        <v>235</v>
      </c>
      <c r="N576" s="161" t="s">
        <v>67</v>
      </c>
      <c r="O576" s="21" t="s">
        <v>68</v>
      </c>
      <c r="P576" s="161" t="s">
        <v>109</v>
      </c>
      <c r="Q576" s="21" t="s">
        <v>70</v>
      </c>
      <c r="R576" s="161">
        <v>70</v>
      </c>
      <c r="S576" s="161" t="s">
        <v>3226</v>
      </c>
      <c r="T576" s="161" t="s">
        <v>174</v>
      </c>
      <c r="U576" s="161" t="s">
        <v>73</v>
      </c>
      <c r="V576" s="21" t="s">
        <v>74</v>
      </c>
      <c r="W576" s="21" t="s">
        <v>257</v>
      </c>
      <c r="X576" s="161" t="s">
        <v>342</v>
      </c>
      <c r="Y576" s="161">
        <v>0.03</v>
      </c>
      <c r="Z576" s="161">
        <v>11.5</v>
      </c>
      <c r="AA576" s="161" t="s">
        <v>77</v>
      </c>
      <c r="AB576" s="161" t="s">
        <v>114</v>
      </c>
      <c r="AC576" s="266" t="str">
        <f>HYPERLINK("https://gcsvt.ru/svetodiodnyie-svetilniki/svt-str-mpro-102w-20-trio/","Ссылка")</f>
        <v>Ссылка</v>
      </c>
      <c r="AD576" s="167">
        <v>48943</v>
      </c>
    </row>
    <row r="577" spans="1:30" s="161" customFormat="1" ht="39.950000000000003" hidden="1" customHeight="1" outlineLevel="2" x14ac:dyDescent="0.25">
      <c r="A577" s="171"/>
      <c r="B577" s="21" t="s">
        <v>254</v>
      </c>
      <c r="C577" s="159" t="s">
        <v>343</v>
      </c>
      <c r="D577" s="161">
        <v>50184</v>
      </c>
      <c r="E577" s="161">
        <v>306</v>
      </c>
      <c r="F577" s="161">
        <v>164</v>
      </c>
      <c r="G577" s="161" t="s">
        <v>344</v>
      </c>
      <c r="H577" s="161" t="s">
        <v>180</v>
      </c>
      <c r="I577" s="161">
        <v>67</v>
      </c>
      <c r="J577" s="161" t="s">
        <v>105</v>
      </c>
      <c r="K577" s="21" t="s">
        <v>106</v>
      </c>
      <c r="L577" s="161" t="s">
        <v>3380</v>
      </c>
      <c r="M577" s="21" t="s">
        <v>235</v>
      </c>
      <c r="N577" s="161" t="s">
        <v>67</v>
      </c>
      <c r="O577" s="21" t="s">
        <v>68</v>
      </c>
      <c r="P577" s="161" t="s">
        <v>109</v>
      </c>
      <c r="Q577" s="21" t="s">
        <v>70</v>
      </c>
      <c r="R577" s="161">
        <v>70</v>
      </c>
      <c r="S577" s="161" t="s">
        <v>3226</v>
      </c>
      <c r="T577" s="161" t="s">
        <v>174</v>
      </c>
      <c r="U577" s="161" t="s">
        <v>73</v>
      </c>
      <c r="V577" s="21" t="s">
        <v>74</v>
      </c>
      <c r="W577" s="21" t="s">
        <v>257</v>
      </c>
      <c r="X577" s="161" t="s">
        <v>342</v>
      </c>
      <c r="Y577" s="161">
        <v>0.03</v>
      </c>
      <c r="Z577" s="161">
        <v>11.5</v>
      </c>
      <c r="AA577" s="161" t="s">
        <v>77</v>
      </c>
      <c r="AB577" s="161" t="s">
        <v>114</v>
      </c>
      <c r="AC577" s="266" t="str">
        <f>HYPERLINK("https://gcsvt.ru/svetodiodnyie-svetilniki/svt-str-mpro-102w-35-trio/","Ссылка")</f>
        <v>Ссылка</v>
      </c>
      <c r="AD577" s="167">
        <v>48943</v>
      </c>
    </row>
    <row r="578" spans="1:30" s="161" customFormat="1" ht="39.950000000000003" hidden="1" customHeight="1" outlineLevel="2" x14ac:dyDescent="0.25">
      <c r="A578" s="171"/>
      <c r="B578" s="21" t="s">
        <v>254</v>
      </c>
      <c r="C578" s="159" t="s">
        <v>345</v>
      </c>
      <c r="D578" s="161">
        <v>50184</v>
      </c>
      <c r="E578" s="161">
        <v>306</v>
      </c>
      <c r="F578" s="161">
        <v>164</v>
      </c>
      <c r="G578" s="161" t="s">
        <v>346</v>
      </c>
      <c r="H578" s="161" t="s">
        <v>183</v>
      </c>
      <c r="I578" s="161">
        <v>67</v>
      </c>
      <c r="J578" s="161" t="s">
        <v>105</v>
      </c>
      <c r="K578" s="21" t="s">
        <v>106</v>
      </c>
      <c r="L578" s="161" t="s">
        <v>3380</v>
      </c>
      <c r="M578" s="21" t="s">
        <v>235</v>
      </c>
      <c r="N578" s="161" t="s">
        <v>67</v>
      </c>
      <c r="O578" s="21" t="s">
        <v>68</v>
      </c>
      <c r="P578" s="161" t="s">
        <v>109</v>
      </c>
      <c r="Q578" s="21" t="s">
        <v>70</v>
      </c>
      <c r="R578" s="161">
        <v>70</v>
      </c>
      <c r="S578" s="161" t="s">
        <v>3226</v>
      </c>
      <c r="T578" s="161" t="s">
        <v>174</v>
      </c>
      <c r="U578" s="161" t="s">
        <v>73</v>
      </c>
      <c r="V578" s="21" t="s">
        <v>74</v>
      </c>
      <c r="W578" s="21" t="s">
        <v>257</v>
      </c>
      <c r="X578" s="161" t="s">
        <v>342</v>
      </c>
      <c r="Y578" s="161">
        <v>0.03</v>
      </c>
      <c r="Z578" s="161">
        <v>11.5</v>
      </c>
      <c r="AA578" s="161" t="s">
        <v>77</v>
      </c>
      <c r="AB578" s="161" t="s">
        <v>114</v>
      </c>
      <c r="AC578" s="266" t="str">
        <f>HYPERLINK("https://gcsvt.ru/svetodiodnyie-svetilniki/svt-str-mpro-102w-65-trio/","Ссылка")</f>
        <v>Ссылка</v>
      </c>
      <c r="AD578" s="167">
        <v>48943</v>
      </c>
    </row>
    <row r="579" spans="1:30" s="161" customFormat="1" ht="39.950000000000003" hidden="1" customHeight="1" outlineLevel="2" x14ac:dyDescent="0.25">
      <c r="A579" s="171"/>
      <c r="B579" s="21" t="s">
        <v>254</v>
      </c>
      <c r="C579" s="159" t="s">
        <v>347</v>
      </c>
      <c r="D579" s="161">
        <v>50184</v>
      </c>
      <c r="E579" s="161">
        <v>306</v>
      </c>
      <c r="F579" s="161">
        <v>164</v>
      </c>
      <c r="G579" s="161" t="s">
        <v>348</v>
      </c>
      <c r="H579" s="161" t="s">
        <v>186</v>
      </c>
      <c r="I579" s="161">
        <v>67</v>
      </c>
      <c r="J579" s="161" t="s">
        <v>105</v>
      </c>
      <c r="K579" s="21" t="s">
        <v>106</v>
      </c>
      <c r="L579" s="161" t="s">
        <v>3380</v>
      </c>
      <c r="M579" s="21" t="s">
        <v>235</v>
      </c>
      <c r="N579" s="161" t="s">
        <v>67</v>
      </c>
      <c r="O579" s="21" t="s">
        <v>68</v>
      </c>
      <c r="P579" s="161" t="s">
        <v>109</v>
      </c>
      <c r="Q579" s="21" t="s">
        <v>70</v>
      </c>
      <c r="R579" s="161">
        <v>70</v>
      </c>
      <c r="S579" s="161" t="s">
        <v>3226</v>
      </c>
      <c r="T579" s="161" t="s">
        <v>174</v>
      </c>
      <c r="U579" s="161" t="s">
        <v>73</v>
      </c>
      <c r="V579" s="21" t="s">
        <v>74</v>
      </c>
      <c r="W579" s="21" t="s">
        <v>257</v>
      </c>
      <c r="X579" s="161" t="s">
        <v>342</v>
      </c>
      <c r="Y579" s="161">
        <v>0.03</v>
      </c>
      <c r="Z579" s="161">
        <v>11.5</v>
      </c>
      <c r="AA579" s="161" t="s">
        <v>77</v>
      </c>
      <c r="AB579" s="161" t="s">
        <v>114</v>
      </c>
      <c r="AC579" s="266" t="str">
        <f>HYPERLINK("https://gcsvt.ru/svetodiodnyie-svetilniki/svt-str-mpro-102w-100-trio/","Ссылка")</f>
        <v>Ссылка</v>
      </c>
      <c r="AD579" s="167">
        <v>48943</v>
      </c>
    </row>
    <row r="580" spans="1:30" s="161" customFormat="1" ht="39.950000000000003" hidden="1" customHeight="1" outlineLevel="2" x14ac:dyDescent="0.25">
      <c r="A580" s="171"/>
      <c r="B580" s="21" t="s">
        <v>254</v>
      </c>
      <c r="C580" s="159" t="s">
        <v>349</v>
      </c>
      <c r="D580" s="161">
        <v>50184</v>
      </c>
      <c r="E580" s="161">
        <v>306</v>
      </c>
      <c r="F580" s="161">
        <v>164</v>
      </c>
      <c r="G580" s="161" t="s">
        <v>350</v>
      </c>
      <c r="H580" s="161" t="s">
        <v>189</v>
      </c>
      <c r="I580" s="161">
        <v>67</v>
      </c>
      <c r="J580" s="161" t="s">
        <v>105</v>
      </c>
      <c r="K580" s="21" t="s">
        <v>106</v>
      </c>
      <c r="L580" s="161" t="s">
        <v>3380</v>
      </c>
      <c r="M580" s="21" t="s">
        <v>235</v>
      </c>
      <c r="N580" s="161" t="s">
        <v>67</v>
      </c>
      <c r="O580" s="21" t="s">
        <v>68</v>
      </c>
      <c r="P580" s="161" t="s">
        <v>109</v>
      </c>
      <c r="Q580" s="21" t="s">
        <v>70</v>
      </c>
      <c r="R580" s="161">
        <v>70</v>
      </c>
      <c r="S580" s="161" t="s">
        <v>3226</v>
      </c>
      <c r="T580" s="161" t="s">
        <v>174</v>
      </c>
      <c r="U580" s="161" t="s">
        <v>73</v>
      </c>
      <c r="V580" s="21" t="s">
        <v>74</v>
      </c>
      <c r="W580" s="21" t="s">
        <v>257</v>
      </c>
      <c r="X580" s="161" t="s">
        <v>342</v>
      </c>
      <c r="Y580" s="161">
        <v>0.03</v>
      </c>
      <c r="Z580" s="161">
        <v>11.5</v>
      </c>
      <c r="AA580" s="161" t="s">
        <v>77</v>
      </c>
      <c r="AB580" s="161" t="s">
        <v>114</v>
      </c>
      <c r="AC580" s="266" t="str">
        <f>HYPERLINK("https://gcsvt.ru/svetodiodnyie-svetilniki/svt-str-mpro-102w-30x120-trio/","Ссылка")</f>
        <v>Ссылка</v>
      </c>
      <c r="AD580" s="167">
        <v>48943</v>
      </c>
    </row>
    <row r="581" spans="1:30" s="161" customFormat="1" ht="39.950000000000003" hidden="1" customHeight="1" outlineLevel="2" x14ac:dyDescent="0.25">
      <c r="A581" s="171"/>
      <c r="B581" s="21" t="s">
        <v>254</v>
      </c>
      <c r="C581" s="159" t="s">
        <v>351</v>
      </c>
      <c r="D581" s="161">
        <v>50184</v>
      </c>
      <c r="E581" s="161">
        <v>306</v>
      </c>
      <c r="F581" s="161">
        <v>164</v>
      </c>
      <c r="G581" s="161" t="s">
        <v>352</v>
      </c>
      <c r="H581" s="161" t="s">
        <v>192</v>
      </c>
      <c r="I581" s="161">
        <v>67</v>
      </c>
      <c r="J581" s="161" t="s">
        <v>105</v>
      </c>
      <c r="K581" s="21" t="s">
        <v>106</v>
      </c>
      <c r="L581" s="161" t="s">
        <v>3380</v>
      </c>
      <c r="M581" s="21" t="s">
        <v>235</v>
      </c>
      <c r="N581" s="161" t="s">
        <v>67</v>
      </c>
      <c r="O581" s="21" t="s">
        <v>68</v>
      </c>
      <c r="P581" s="161" t="s">
        <v>109</v>
      </c>
      <c r="Q581" s="21" t="s">
        <v>70</v>
      </c>
      <c r="R581" s="161">
        <v>70</v>
      </c>
      <c r="S581" s="161" t="s">
        <v>3226</v>
      </c>
      <c r="T581" s="161" t="s">
        <v>174</v>
      </c>
      <c r="U581" s="161" t="s">
        <v>73</v>
      </c>
      <c r="V581" s="21" t="s">
        <v>74</v>
      </c>
      <c r="W581" s="21" t="s">
        <v>257</v>
      </c>
      <c r="X581" s="161" t="s">
        <v>342</v>
      </c>
      <c r="Y581" s="161">
        <v>0.03</v>
      </c>
      <c r="Z581" s="161">
        <v>11.5</v>
      </c>
      <c r="AA581" s="161" t="s">
        <v>77</v>
      </c>
      <c r="AB581" s="161" t="s">
        <v>114</v>
      </c>
      <c r="AC581" s="266" t="str">
        <f>HYPERLINK("https://gcsvt.ru/svetodiodnyie-svetilniki/svt-str-mpro-102w-vsm-trio/","Ссылка")</f>
        <v>Ссылка</v>
      </c>
      <c r="AD581" s="167">
        <v>48943</v>
      </c>
    </row>
    <row r="582" spans="1:30" s="161" customFormat="1" ht="39.950000000000003" hidden="1" customHeight="1" outlineLevel="2" x14ac:dyDescent="0.25">
      <c r="A582" s="171"/>
      <c r="B582" s="21" t="s">
        <v>254</v>
      </c>
      <c r="C582" s="159" t="s">
        <v>353</v>
      </c>
      <c r="D582" s="161">
        <v>50184</v>
      </c>
      <c r="E582" s="161">
        <v>306</v>
      </c>
      <c r="F582" s="161">
        <v>164</v>
      </c>
      <c r="G582" s="161" t="s">
        <v>354</v>
      </c>
      <c r="H582" s="161" t="s">
        <v>63</v>
      </c>
      <c r="I582" s="161">
        <v>67</v>
      </c>
      <c r="J582" s="161" t="s">
        <v>105</v>
      </c>
      <c r="K582" s="21" t="s">
        <v>106</v>
      </c>
      <c r="L582" s="161" t="s">
        <v>3380</v>
      </c>
      <c r="M582" s="21" t="s">
        <v>235</v>
      </c>
      <c r="N582" s="161" t="s">
        <v>67</v>
      </c>
      <c r="O582" s="21" t="s">
        <v>68</v>
      </c>
      <c r="P582" s="161" t="s">
        <v>109</v>
      </c>
      <c r="Q582" s="21" t="s">
        <v>70</v>
      </c>
      <c r="R582" s="161">
        <v>70</v>
      </c>
      <c r="S582" s="161" t="s">
        <v>3226</v>
      </c>
      <c r="T582" s="161" t="s">
        <v>174</v>
      </c>
      <c r="U582" s="161" t="s">
        <v>73</v>
      </c>
      <c r="V582" s="21" t="s">
        <v>74</v>
      </c>
      <c r="W582" s="21" t="s">
        <v>257</v>
      </c>
      <c r="X582" s="161" t="s">
        <v>342</v>
      </c>
      <c r="Y582" s="161">
        <v>0.03</v>
      </c>
      <c r="Z582" s="161">
        <v>11.5</v>
      </c>
      <c r="AA582" s="161" t="s">
        <v>77</v>
      </c>
      <c r="AB582" s="161" t="s">
        <v>114</v>
      </c>
      <c r="AC582" s="266" t="str">
        <f>HYPERLINK("https://gcsvt.ru/svetodiodnyie-svetilniki/svt-str-mpro-102w-45x140-trio/","Ссылка")</f>
        <v>Ссылка</v>
      </c>
      <c r="AD582" s="167">
        <v>48943</v>
      </c>
    </row>
    <row r="583" spans="1:30" s="161" customFormat="1" ht="39.950000000000003" hidden="1" customHeight="1" outlineLevel="2" x14ac:dyDescent="0.25">
      <c r="A583" s="171"/>
      <c r="B583" s="21" t="s">
        <v>254</v>
      </c>
      <c r="C583" s="159" t="s">
        <v>355</v>
      </c>
      <c r="D583" s="161">
        <v>53088</v>
      </c>
      <c r="E583" s="161">
        <v>316</v>
      </c>
      <c r="F583" s="161">
        <v>168</v>
      </c>
      <c r="G583" s="161" t="s">
        <v>356</v>
      </c>
      <c r="H583" s="161" t="s">
        <v>177</v>
      </c>
      <c r="I583" s="161">
        <v>67</v>
      </c>
      <c r="J583" s="161" t="s">
        <v>105</v>
      </c>
      <c r="K583" s="21" t="s">
        <v>106</v>
      </c>
      <c r="L583" s="161" t="s">
        <v>3380</v>
      </c>
      <c r="M583" s="21" t="s">
        <v>157</v>
      </c>
      <c r="N583" s="161" t="s">
        <v>67</v>
      </c>
      <c r="O583" s="21" t="s">
        <v>68</v>
      </c>
      <c r="P583" s="161" t="s">
        <v>109</v>
      </c>
      <c r="Q583" s="21" t="s">
        <v>70</v>
      </c>
      <c r="R583" s="161">
        <v>70</v>
      </c>
      <c r="S583" s="161" t="s">
        <v>3228</v>
      </c>
      <c r="T583" s="161" t="s">
        <v>174</v>
      </c>
      <c r="U583" s="161" t="s">
        <v>73</v>
      </c>
      <c r="V583" s="21" t="s">
        <v>74</v>
      </c>
      <c r="W583" s="21" t="s">
        <v>257</v>
      </c>
      <c r="X583" s="161" t="s">
        <v>358</v>
      </c>
      <c r="Y583" s="161">
        <v>0.04</v>
      </c>
      <c r="Z583" s="161">
        <v>11</v>
      </c>
      <c r="AA583" s="161" t="s">
        <v>77</v>
      </c>
      <c r="AB583" s="161" t="s">
        <v>114</v>
      </c>
      <c r="AC583" s="266" t="str">
        <f>HYPERLINK("https://gcsvt.ru/svetodiodnyie-svetilniki/svt-str-mpro-79w-20-quattro/","Ссылка")</f>
        <v>Ссылка</v>
      </c>
      <c r="AD583" s="167">
        <v>52332</v>
      </c>
    </row>
    <row r="584" spans="1:30" s="161" customFormat="1" ht="39.950000000000003" hidden="1" customHeight="1" outlineLevel="2" x14ac:dyDescent="0.25">
      <c r="A584" s="171"/>
      <c r="B584" s="21" t="s">
        <v>254</v>
      </c>
      <c r="C584" s="159" t="s">
        <v>359</v>
      </c>
      <c r="D584" s="161">
        <v>53088</v>
      </c>
      <c r="E584" s="161">
        <v>316</v>
      </c>
      <c r="F584" s="161">
        <v>168</v>
      </c>
      <c r="G584" s="161" t="s">
        <v>360</v>
      </c>
      <c r="H584" s="161" t="s">
        <v>180</v>
      </c>
      <c r="I584" s="161">
        <v>67</v>
      </c>
      <c r="J584" s="161" t="s">
        <v>105</v>
      </c>
      <c r="K584" s="21" t="s">
        <v>106</v>
      </c>
      <c r="L584" s="161" t="s">
        <v>3380</v>
      </c>
      <c r="M584" s="21" t="s">
        <v>157</v>
      </c>
      <c r="N584" s="161" t="s">
        <v>67</v>
      </c>
      <c r="O584" s="21" t="s">
        <v>68</v>
      </c>
      <c r="P584" s="161" t="s">
        <v>109</v>
      </c>
      <c r="Q584" s="21" t="s">
        <v>70</v>
      </c>
      <c r="R584" s="161">
        <v>70</v>
      </c>
      <c r="S584" s="161" t="s">
        <v>3228</v>
      </c>
      <c r="T584" s="161" t="s">
        <v>174</v>
      </c>
      <c r="U584" s="161" t="s">
        <v>73</v>
      </c>
      <c r="V584" s="21" t="s">
        <v>74</v>
      </c>
      <c r="W584" s="21" t="s">
        <v>257</v>
      </c>
      <c r="X584" s="161" t="s">
        <v>358</v>
      </c>
      <c r="Y584" s="161">
        <v>0.04</v>
      </c>
      <c r="Z584" s="161">
        <v>11</v>
      </c>
      <c r="AA584" s="161" t="s">
        <v>77</v>
      </c>
      <c r="AB584" s="161" t="s">
        <v>114</v>
      </c>
      <c r="AC584" s="266" t="str">
        <f>HYPERLINK("https://gcsvt.ru/svetodiodnyie-svetilniki/svt-str-mpro-79w-35-quattro/","Ссылка")</f>
        <v>Ссылка</v>
      </c>
      <c r="AD584" s="167">
        <v>52332</v>
      </c>
    </row>
    <row r="585" spans="1:30" s="161" customFormat="1" ht="39.950000000000003" hidden="1" customHeight="1" outlineLevel="2" x14ac:dyDescent="0.25">
      <c r="A585" s="171"/>
      <c r="B585" s="21" t="s">
        <v>254</v>
      </c>
      <c r="C585" s="159" t="s">
        <v>361</v>
      </c>
      <c r="D585" s="161">
        <v>53088</v>
      </c>
      <c r="E585" s="161">
        <v>316</v>
      </c>
      <c r="F585" s="161">
        <v>168</v>
      </c>
      <c r="G585" s="161" t="s">
        <v>362</v>
      </c>
      <c r="H585" s="161" t="s">
        <v>183</v>
      </c>
      <c r="I585" s="161">
        <v>67</v>
      </c>
      <c r="J585" s="161" t="s">
        <v>105</v>
      </c>
      <c r="K585" s="21" t="s">
        <v>106</v>
      </c>
      <c r="L585" s="161" t="s">
        <v>3380</v>
      </c>
      <c r="M585" s="21" t="s">
        <v>157</v>
      </c>
      <c r="N585" s="161" t="s">
        <v>67</v>
      </c>
      <c r="O585" s="21" t="s">
        <v>68</v>
      </c>
      <c r="P585" s="161" t="s">
        <v>109</v>
      </c>
      <c r="Q585" s="21" t="s">
        <v>70</v>
      </c>
      <c r="R585" s="161">
        <v>70</v>
      </c>
      <c r="S585" s="161" t="s">
        <v>3228</v>
      </c>
      <c r="T585" s="161" t="s">
        <v>174</v>
      </c>
      <c r="U585" s="161" t="s">
        <v>73</v>
      </c>
      <c r="V585" s="21" t="s">
        <v>74</v>
      </c>
      <c r="W585" s="21" t="s">
        <v>257</v>
      </c>
      <c r="X585" s="161" t="s">
        <v>358</v>
      </c>
      <c r="Y585" s="161">
        <v>0.04</v>
      </c>
      <c r="Z585" s="161">
        <v>11</v>
      </c>
      <c r="AA585" s="161" t="s">
        <v>77</v>
      </c>
      <c r="AB585" s="161" t="s">
        <v>114</v>
      </c>
      <c r="AC585" s="266" t="str">
        <f>HYPERLINK("https://gcsvt.ru/svetodiodnyie-svetilniki/svt-str-mpro-79w-65-quattro/","Ссылка")</f>
        <v>Ссылка</v>
      </c>
      <c r="AD585" s="167">
        <v>52332</v>
      </c>
    </row>
    <row r="586" spans="1:30" s="161" customFormat="1" ht="39.950000000000003" hidden="1" customHeight="1" outlineLevel="2" x14ac:dyDescent="0.25">
      <c r="A586" s="171"/>
      <c r="B586" s="21" t="s">
        <v>254</v>
      </c>
      <c r="C586" s="159" t="s">
        <v>363</v>
      </c>
      <c r="D586" s="161">
        <v>53088</v>
      </c>
      <c r="E586" s="161">
        <v>316</v>
      </c>
      <c r="F586" s="161">
        <v>168</v>
      </c>
      <c r="G586" s="161" t="s">
        <v>364</v>
      </c>
      <c r="H586" s="161" t="s">
        <v>186</v>
      </c>
      <c r="I586" s="161">
        <v>67</v>
      </c>
      <c r="J586" s="161" t="s">
        <v>105</v>
      </c>
      <c r="K586" s="21" t="s">
        <v>106</v>
      </c>
      <c r="L586" s="161" t="s">
        <v>3380</v>
      </c>
      <c r="M586" s="21" t="s">
        <v>157</v>
      </c>
      <c r="N586" s="161" t="s">
        <v>67</v>
      </c>
      <c r="O586" s="21" t="s">
        <v>68</v>
      </c>
      <c r="P586" s="161" t="s">
        <v>109</v>
      </c>
      <c r="Q586" s="21" t="s">
        <v>70</v>
      </c>
      <c r="R586" s="161">
        <v>70</v>
      </c>
      <c r="S586" s="161" t="s">
        <v>3228</v>
      </c>
      <c r="T586" s="161" t="s">
        <v>174</v>
      </c>
      <c r="U586" s="161" t="s">
        <v>73</v>
      </c>
      <c r="V586" s="21" t="s">
        <v>74</v>
      </c>
      <c r="W586" s="21" t="s">
        <v>257</v>
      </c>
      <c r="X586" s="161" t="s">
        <v>358</v>
      </c>
      <c r="Y586" s="161">
        <v>0.04</v>
      </c>
      <c r="Z586" s="161">
        <v>11</v>
      </c>
      <c r="AA586" s="161" t="s">
        <v>77</v>
      </c>
      <c r="AB586" s="161" t="s">
        <v>114</v>
      </c>
      <c r="AC586" s="266" t="str">
        <f>HYPERLINK("https://gcsvt.ru/svetodiodnyie-svetilniki/svt-str-mpro-79w-100-quattro/","Ссылка")</f>
        <v>Ссылка</v>
      </c>
      <c r="AD586" s="167">
        <v>52332</v>
      </c>
    </row>
    <row r="587" spans="1:30" s="161" customFormat="1" ht="39.950000000000003" hidden="1" customHeight="1" outlineLevel="2" x14ac:dyDescent="0.25">
      <c r="A587" s="171"/>
      <c r="B587" s="21" t="s">
        <v>254</v>
      </c>
      <c r="C587" s="159" t="s">
        <v>365</v>
      </c>
      <c r="D587" s="161">
        <v>53088</v>
      </c>
      <c r="E587" s="161">
        <v>316</v>
      </c>
      <c r="F587" s="161">
        <v>168</v>
      </c>
      <c r="G587" s="161" t="s">
        <v>366</v>
      </c>
      <c r="H587" s="161" t="s">
        <v>189</v>
      </c>
      <c r="I587" s="161">
        <v>67</v>
      </c>
      <c r="J587" s="161" t="s">
        <v>105</v>
      </c>
      <c r="K587" s="21" t="s">
        <v>106</v>
      </c>
      <c r="L587" s="161" t="s">
        <v>3380</v>
      </c>
      <c r="M587" s="21" t="s">
        <v>157</v>
      </c>
      <c r="N587" s="161" t="s">
        <v>67</v>
      </c>
      <c r="O587" s="21" t="s">
        <v>68</v>
      </c>
      <c r="P587" s="161" t="s">
        <v>109</v>
      </c>
      <c r="Q587" s="21" t="s">
        <v>70</v>
      </c>
      <c r="R587" s="161">
        <v>70</v>
      </c>
      <c r="S587" s="161" t="s">
        <v>3228</v>
      </c>
      <c r="T587" s="161" t="s">
        <v>174</v>
      </c>
      <c r="U587" s="161" t="s">
        <v>73</v>
      </c>
      <c r="V587" s="21" t="s">
        <v>74</v>
      </c>
      <c r="W587" s="21" t="s">
        <v>257</v>
      </c>
      <c r="X587" s="161" t="s">
        <v>358</v>
      </c>
      <c r="Y587" s="161">
        <v>0.04</v>
      </c>
      <c r="Z587" s="161">
        <v>11</v>
      </c>
      <c r="AA587" s="161" t="s">
        <v>77</v>
      </c>
      <c r="AB587" s="161" t="s">
        <v>114</v>
      </c>
      <c r="AC587" s="266" t="str">
        <f>HYPERLINK("https://gcsvt.ru/svetodiodnyie-svetilniki/svt-str-mpro-79w-30x120-quattro/","Ссылка")</f>
        <v>Ссылка</v>
      </c>
      <c r="AD587" s="167">
        <v>52332</v>
      </c>
    </row>
    <row r="588" spans="1:30" s="161" customFormat="1" ht="39.950000000000003" hidden="1" customHeight="1" outlineLevel="2" x14ac:dyDescent="0.25">
      <c r="A588" s="171"/>
      <c r="B588" s="21" t="s">
        <v>254</v>
      </c>
      <c r="C588" s="159" t="s">
        <v>367</v>
      </c>
      <c r="D588" s="161">
        <v>53088</v>
      </c>
      <c r="E588" s="161">
        <v>316</v>
      </c>
      <c r="F588" s="161">
        <v>168</v>
      </c>
      <c r="G588" s="161" t="s">
        <v>368</v>
      </c>
      <c r="H588" s="161" t="s">
        <v>192</v>
      </c>
      <c r="I588" s="161">
        <v>67</v>
      </c>
      <c r="J588" s="161" t="s">
        <v>105</v>
      </c>
      <c r="K588" s="21" t="s">
        <v>106</v>
      </c>
      <c r="L588" s="161" t="s">
        <v>3380</v>
      </c>
      <c r="M588" s="21" t="s">
        <v>157</v>
      </c>
      <c r="N588" s="161" t="s">
        <v>67</v>
      </c>
      <c r="O588" s="21" t="s">
        <v>68</v>
      </c>
      <c r="P588" s="161" t="s">
        <v>109</v>
      </c>
      <c r="Q588" s="21" t="s">
        <v>70</v>
      </c>
      <c r="R588" s="161">
        <v>70</v>
      </c>
      <c r="S588" s="161" t="s">
        <v>3228</v>
      </c>
      <c r="T588" s="161" t="s">
        <v>174</v>
      </c>
      <c r="U588" s="161" t="s">
        <v>73</v>
      </c>
      <c r="V588" s="21" t="s">
        <v>74</v>
      </c>
      <c r="W588" s="21" t="s">
        <v>257</v>
      </c>
      <c r="X588" s="161" t="s">
        <v>358</v>
      </c>
      <c r="Y588" s="161">
        <v>0.04</v>
      </c>
      <c r="Z588" s="161">
        <v>11</v>
      </c>
      <c r="AA588" s="161" t="s">
        <v>77</v>
      </c>
      <c r="AB588" s="161" t="s">
        <v>114</v>
      </c>
      <c r="AC588" s="266" t="str">
        <f>HYPERLINK("https://gcsvt.ru/svetodiodnyie-svetilniki/svt-str-mpro-79w-vsm-quattro/","Ссылка")</f>
        <v>Ссылка</v>
      </c>
      <c r="AD588" s="167">
        <v>52332</v>
      </c>
    </row>
    <row r="589" spans="1:30" s="161" customFormat="1" ht="39.950000000000003" hidden="1" customHeight="1" outlineLevel="2" x14ac:dyDescent="0.25">
      <c r="A589" s="171"/>
      <c r="B589" s="21" t="s">
        <v>254</v>
      </c>
      <c r="C589" s="159" t="s">
        <v>369</v>
      </c>
      <c r="D589" s="161">
        <v>53088</v>
      </c>
      <c r="E589" s="161">
        <v>316</v>
      </c>
      <c r="F589" s="161">
        <v>168</v>
      </c>
      <c r="G589" s="161" t="s">
        <v>370</v>
      </c>
      <c r="H589" s="161" t="s">
        <v>63</v>
      </c>
      <c r="I589" s="161">
        <v>67</v>
      </c>
      <c r="J589" s="161" t="s">
        <v>105</v>
      </c>
      <c r="K589" s="21" t="s">
        <v>106</v>
      </c>
      <c r="L589" s="161" t="s">
        <v>3380</v>
      </c>
      <c r="M589" s="21" t="s">
        <v>157</v>
      </c>
      <c r="N589" s="161" t="s">
        <v>67</v>
      </c>
      <c r="O589" s="21" t="s">
        <v>68</v>
      </c>
      <c r="P589" s="161" t="s">
        <v>109</v>
      </c>
      <c r="Q589" s="21" t="s">
        <v>70</v>
      </c>
      <c r="R589" s="161">
        <v>70</v>
      </c>
      <c r="S589" s="161" t="s">
        <v>3228</v>
      </c>
      <c r="T589" s="161" t="s">
        <v>174</v>
      </c>
      <c r="U589" s="161" t="s">
        <v>73</v>
      </c>
      <c r="V589" s="21" t="s">
        <v>74</v>
      </c>
      <c r="W589" s="21" t="s">
        <v>257</v>
      </c>
      <c r="X589" s="161" t="s">
        <v>358</v>
      </c>
      <c r="Y589" s="161">
        <v>0.04</v>
      </c>
      <c r="Z589" s="161">
        <v>11</v>
      </c>
      <c r="AA589" s="161" t="s">
        <v>77</v>
      </c>
      <c r="AB589" s="161" t="s">
        <v>114</v>
      </c>
      <c r="AC589" s="266" t="str">
        <f>HYPERLINK("https://gcsvt.ru/svetodiodnyie-svetilniki/svt-str-mpro-79w-45x140-quattro/","Ссылка")</f>
        <v>Ссылка</v>
      </c>
      <c r="AD589" s="167">
        <v>52332</v>
      </c>
    </row>
    <row r="590" spans="1:30" s="161" customFormat="1" ht="39.950000000000003" hidden="1" customHeight="1" outlineLevel="2" x14ac:dyDescent="0.25">
      <c r="A590" s="171"/>
      <c r="B590" s="21" t="s">
        <v>254</v>
      </c>
      <c r="C590" s="159" t="s">
        <v>371</v>
      </c>
      <c r="D590" s="161">
        <v>66912</v>
      </c>
      <c r="E590" s="161">
        <v>408</v>
      </c>
      <c r="F590" s="161">
        <v>164</v>
      </c>
      <c r="G590" s="161" t="s">
        <v>372</v>
      </c>
      <c r="H590" s="161" t="s">
        <v>177</v>
      </c>
      <c r="I590" s="161">
        <v>67</v>
      </c>
      <c r="J590" s="161" t="s">
        <v>105</v>
      </c>
      <c r="K590" s="21" t="s">
        <v>106</v>
      </c>
      <c r="L590" s="161" t="s">
        <v>3380</v>
      </c>
      <c r="M590" s="21" t="s">
        <v>235</v>
      </c>
      <c r="N590" s="161" t="s">
        <v>67</v>
      </c>
      <c r="O590" s="21" t="s">
        <v>68</v>
      </c>
      <c r="P590" s="161" t="s">
        <v>109</v>
      </c>
      <c r="Q590" s="21" t="s">
        <v>70</v>
      </c>
      <c r="R590" s="161">
        <v>70</v>
      </c>
      <c r="S590" s="161" t="s">
        <v>3227</v>
      </c>
      <c r="T590" s="161" t="s">
        <v>174</v>
      </c>
      <c r="U590" s="161" t="s">
        <v>73</v>
      </c>
      <c r="V590" s="21" t="s">
        <v>74</v>
      </c>
      <c r="W590" s="21" t="s">
        <v>257</v>
      </c>
      <c r="X590" s="161" t="s">
        <v>373</v>
      </c>
      <c r="Y590" s="161">
        <v>0.04</v>
      </c>
      <c r="Z590" s="161">
        <v>15</v>
      </c>
      <c r="AA590" s="161" t="s">
        <v>77</v>
      </c>
      <c r="AB590" s="161" t="s">
        <v>114</v>
      </c>
      <c r="AC590" s="266" t="str">
        <f>HYPERLINK("https://gcsvt.ru/svetodiodnyie-svetilniki/svt-str-mpro-102w-20-quattro/","Ссылка")</f>
        <v>Ссылка</v>
      </c>
      <c r="AD590" s="167">
        <v>65257</v>
      </c>
    </row>
    <row r="591" spans="1:30" s="161" customFormat="1" ht="39.950000000000003" hidden="1" customHeight="1" outlineLevel="2" x14ac:dyDescent="0.25">
      <c r="A591" s="171"/>
      <c r="B591" s="21" t="s">
        <v>254</v>
      </c>
      <c r="C591" s="159" t="s">
        <v>374</v>
      </c>
      <c r="D591" s="161">
        <v>66912</v>
      </c>
      <c r="E591" s="161">
        <v>408</v>
      </c>
      <c r="F591" s="161">
        <v>164</v>
      </c>
      <c r="G591" s="161" t="s">
        <v>375</v>
      </c>
      <c r="H591" s="161" t="s">
        <v>180</v>
      </c>
      <c r="I591" s="161">
        <v>67</v>
      </c>
      <c r="J591" s="161" t="s">
        <v>105</v>
      </c>
      <c r="K591" s="21" t="s">
        <v>106</v>
      </c>
      <c r="L591" s="161" t="s">
        <v>3380</v>
      </c>
      <c r="M591" s="21" t="s">
        <v>235</v>
      </c>
      <c r="N591" s="161" t="s">
        <v>67</v>
      </c>
      <c r="O591" s="21" t="s">
        <v>68</v>
      </c>
      <c r="P591" s="161" t="s">
        <v>109</v>
      </c>
      <c r="Q591" s="21" t="s">
        <v>70</v>
      </c>
      <c r="R591" s="161">
        <v>70</v>
      </c>
      <c r="S591" s="161" t="s">
        <v>3227</v>
      </c>
      <c r="T591" s="161" t="s">
        <v>174</v>
      </c>
      <c r="U591" s="161" t="s">
        <v>73</v>
      </c>
      <c r="V591" s="21" t="s">
        <v>74</v>
      </c>
      <c r="W591" s="21" t="s">
        <v>257</v>
      </c>
      <c r="X591" s="161" t="s">
        <v>373</v>
      </c>
      <c r="Y591" s="161">
        <v>0.04</v>
      </c>
      <c r="Z591" s="161">
        <v>15</v>
      </c>
      <c r="AA591" s="161" t="s">
        <v>77</v>
      </c>
      <c r="AB591" s="161" t="s">
        <v>114</v>
      </c>
      <c r="AC591" s="266" t="str">
        <f>HYPERLINK("https://gcsvt.ru/svetodiodnyie-svetilniki/svt-str-mpro-102w-35-quattro/","Ссылка")</f>
        <v>Ссылка</v>
      </c>
      <c r="AD591" s="167">
        <v>65257</v>
      </c>
    </row>
    <row r="592" spans="1:30" s="161" customFormat="1" ht="39.950000000000003" hidden="1" customHeight="1" outlineLevel="2" x14ac:dyDescent="0.25">
      <c r="A592" s="171"/>
      <c r="B592" s="21" t="s">
        <v>254</v>
      </c>
      <c r="C592" s="159" t="s">
        <v>376</v>
      </c>
      <c r="D592" s="161">
        <v>66912</v>
      </c>
      <c r="E592" s="161">
        <v>408</v>
      </c>
      <c r="F592" s="161">
        <v>164</v>
      </c>
      <c r="G592" s="161" t="s">
        <v>377</v>
      </c>
      <c r="H592" s="161" t="s">
        <v>183</v>
      </c>
      <c r="I592" s="161">
        <v>67</v>
      </c>
      <c r="J592" s="161" t="s">
        <v>105</v>
      </c>
      <c r="K592" s="21" t="s">
        <v>106</v>
      </c>
      <c r="L592" s="161" t="s">
        <v>3380</v>
      </c>
      <c r="M592" s="21" t="s">
        <v>235</v>
      </c>
      <c r="N592" s="161" t="s">
        <v>67</v>
      </c>
      <c r="O592" s="21" t="s">
        <v>68</v>
      </c>
      <c r="P592" s="161" t="s">
        <v>109</v>
      </c>
      <c r="Q592" s="21" t="s">
        <v>70</v>
      </c>
      <c r="R592" s="161">
        <v>70</v>
      </c>
      <c r="S592" s="161" t="s">
        <v>3227</v>
      </c>
      <c r="T592" s="161" t="s">
        <v>174</v>
      </c>
      <c r="U592" s="161" t="s">
        <v>73</v>
      </c>
      <c r="V592" s="21" t="s">
        <v>74</v>
      </c>
      <c r="W592" s="21" t="s">
        <v>257</v>
      </c>
      <c r="X592" s="161" t="s">
        <v>373</v>
      </c>
      <c r="Y592" s="161">
        <v>0.04</v>
      </c>
      <c r="Z592" s="161">
        <v>15</v>
      </c>
      <c r="AA592" s="161" t="s">
        <v>77</v>
      </c>
      <c r="AB592" s="161" t="s">
        <v>114</v>
      </c>
      <c r="AC592" s="266" t="str">
        <f>HYPERLINK("https://gcsvt.ru/svetodiodnyie-svetilniki/svt-str-mpro-102w-65-quattro/","Ссылка")</f>
        <v>Ссылка</v>
      </c>
      <c r="AD592" s="167">
        <v>65257</v>
      </c>
    </row>
    <row r="593" spans="1:30" s="161" customFormat="1" ht="39.950000000000003" hidden="1" customHeight="1" outlineLevel="2" x14ac:dyDescent="0.25">
      <c r="A593" s="171"/>
      <c r="B593" s="21" t="s">
        <v>254</v>
      </c>
      <c r="C593" s="159" t="s">
        <v>378</v>
      </c>
      <c r="D593" s="161">
        <v>66912</v>
      </c>
      <c r="E593" s="161">
        <v>408</v>
      </c>
      <c r="F593" s="161">
        <v>164</v>
      </c>
      <c r="G593" s="161" t="s">
        <v>379</v>
      </c>
      <c r="H593" s="161" t="s">
        <v>186</v>
      </c>
      <c r="I593" s="161">
        <v>67</v>
      </c>
      <c r="J593" s="161" t="s">
        <v>105</v>
      </c>
      <c r="K593" s="21" t="s">
        <v>106</v>
      </c>
      <c r="L593" s="161" t="s">
        <v>3380</v>
      </c>
      <c r="M593" s="21" t="s">
        <v>235</v>
      </c>
      <c r="N593" s="161" t="s">
        <v>67</v>
      </c>
      <c r="O593" s="21" t="s">
        <v>68</v>
      </c>
      <c r="P593" s="161" t="s">
        <v>109</v>
      </c>
      <c r="Q593" s="21" t="s">
        <v>70</v>
      </c>
      <c r="R593" s="161">
        <v>70</v>
      </c>
      <c r="S593" s="161" t="s">
        <v>3227</v>
      </c>
      <c r="T593" s="161" t="s">
        <v>174</v>
      </c>
      <c r="U593" s="161" t="s">
        <v>73</v>
      </c>
      <c r="V593" s="21" t="s">
        <v>74</v>
      </c>
      <c r="W593" s="21" t="s">
        <v>257</v>
      </c>
      <c r="X593" s="161" t="s">
        <v>373</v>
      </c>
      <c r="Y593" s="161">
        <v>0.04</v>
      </c>
      <c r="Z593" s="161">
        <v>15</v>
      </c>
      <c r="AA593" s="161" t="s">
        <v>77</v>
      </c>
      <c r="AB593" s="161" t="s">
        <v>114</v>
      </c>
      <c r="AC593" s="266" t="str">
        <f>HYPERLINK("https://gcsvt.ru/svetodiodnyie-svetilniki/svt-str-mpro-102w-100-quattro/","Ссылка")</f>
        <v>Ссылка</v>
      </c>
      <c r="AD593" s="167">
        <v>65257</v>
      </c>
    </row>
    <row r="594" spans="1:30" s="161" customFormat="1" ht="39.950000000000003" hidden="1" customHeight="1" outlineLevel="2" x14ac:dyDescent="0.25">
      <c r="A594" s="171"/>
      <c r="B594" s="21" t="s">
        <v>254</v>
      </c>
      <c r="C594" s="159" t="s">
        <v>380</v>
      </c>
      <c r="D594" s="161">
        <v>66912</v>
      </c>
      <c r="E594" s="161">
        <v>408</v>
      </c>
      <c r="F594" s="161">
        <v>164</v>
      </c>
      <c r="G594" s="161" t="s">
        <v>381</v>
      </c>
      <c r="H594" s="161" t="s">
        <v>189</v>
      </c>
      <c r="I594" s="161">
        <v>67</v>
      </c>
      <c r="J594" s="161" t="s">
        <v>105</v>
      </c>
      <c r="K594" s="21" t="s">
        <v>106</v>
      </c>
      <c r="L594" s="161" t="s">
        <v>3380</v>
      </c>
      <c r="M594" s="21" t="s">
        <v>235</v>
      </c>
      <c r="N594" s="161" t="s">
        <v>67</v>
      </c>
      <c r="O594" s="21" t="s">
        <v>68</v>
      </c>
      <c r="P594" s="161" t="s">
        <v>109</v>
      </c>
      <c r="Q594" s="21" t="s">
        <v>70</v>
      </c>
      <c r="R594" s="161">
        <v>70</v>
      </c>
      <c r="S594" s="161" t="s">
        <v>3227</v>
      </c>
      <c r="T594" s="161" t="s">
        <v>174</v>
      </c>
      <c r="U594" s="161" t="s">
        <v>73</v>
      </c>
      <c r="V594" s="21" t="s">
        <v>74</v>
      </c>
      <c r="W594" s="21" t="s">
        <v>257</v>
      </c>
      <c r="X594" s="161" t="s">
        <v>373</v>
      </c>
      <c r="Y594" s="161">
        <v>0.04</v>
      </c>
      <c r="Z594" s="161">
        <v>15</v>
      </c>
      <c r="AA594" s="161" t="s">
        <v>77</v>
      </c>
      <c r="AB594" s="161" t="s">
        <v>114</v>
      </c>
      <c r="AC594" s="266" t="str">
        <f>HYPERLINK("https://gcsvt.ru/svetodiodnyie-svetilniki/svt-str-mpro-102w-30x120-quattro/","Ссылка")</f>
        <v>Ссылка</v>
      </c>
      <c r="AD594" s="167">
        <v>65257</v>
      </c>
    </row>
    <row r="595" spans="1:30" s="161" customFormat="1" ht="39.950000000000003" hidden="1" customHeight="1" outlineLevel="2" x14ac:dyDescent="0.25">
      <c r="A595" s="171"/>
      <c r="B595" s="21" t="s">
        <v>254</v>
      </c>
      <c r="C595" s="159" t="s">
        <v>382</v>
      </c>
      <c r="D595" s="161">
        <v>66912</v>
      </c>
      <c r="E595" s="161">
        <v>408</v>
      </c>
      <c r="F595" s="161">
        <v>164</v>
      </c>
      <c r="G595" s="161" t="s">
        <v>383</v>
      </c>
      <c r="H595" s="161" t="s">
        <v>192</v>
      </c>
      <c r="I595" s="161">
        <v>67</v>
      </c>
      <c r="J595" s="161" t="s">
        <v>105</v>
      </c>
      <c r="K595" s="21" t="s">
        <v>106</v>
      </c>
      <c r="L595" s="161" t="s">
        <v>3380</v>
      </c>
      <c r="M595" s="21" t="s">
        <v>235</v>
      </c>
      <c r="N595" s="161" t="s">
        <v>67</v>
      </c>
      <c r="O595" s="21" t="s">
        <v>68</v>
      </c>
      <c r="P595" s="161" t="s">
        <v>109</v>
      </c>
      <c r="Q595" s="21" t="s">
        <v>70</v>
      </c>
      <c r="R595" s="161">
        <v>70</v>
      </c>
      <c r="S595" s="161" t="s">
        <v>3227</v>
      </c>
      <c r="T595" s="161" t="s">
        <v>174</v>
      </c>
      <c r="U595" s="161" t="s">
        <v>73</v>
      </c>
      <c r="V595" s="21" t="s">
        <v>74</v>
      </c>
      <c r="W595" s="21" t="s">
        <v>257</v>
      </c>
      <c r="X595" s="161" t="s">
        <v>373</v>
      </c>
      <c r="Y595" s="161">
        <v>0.04</v>
      </c>
      <c r="Z595" s="161">
        <v>15</v>
      </c>
      <c r="AA595" s="161" t="s">
        <v>77</v>
      </c>
      <c r="AB595" s="161" t="s">
        <v>114</v>
      </c>
      <c r="AC595" s="266" t="str">
        <f>HYPERLINK("https://gcsvt.ru/svetodiodnyie-svetilniki/svt-str-mpro-102w-vsm-quattro/","Ссылка")</f>
        <v>Ссылка</v>
      </c>
      <c r="AD595" s="167">
        <v>65257</v>
      </c>
    </row>
    <row r="596" spans="1:30" s="161" customFormat="1" ht="39.950000000000003" hidden="1" customHeight="1" outlineLevel="2" x14ac:dyDescent="0.25">
      <c r="A596" s="171"/>
      <c r="B596" s="21" t="s">
        <v>254</v>
      </c>
      <c r="C596" s="159" t="s">
        <v>384</v>
      </c>
      <c r="D596" s="161">
        <v>66912</v>
      </c>
      <c r="E596" s="161">
        <v>408</v>
      </c>
      <c r="F596" s="161">
        <v>164</v>
      </c>
      <c r="G596" s="161" t="s">
        <v>385</v>
      </c>
      <c r="H596" s="161" t="s">
        <v>63</v>
      </c>
      <c r="I596" s="161">
        <v>67</v>
      </c>
      <c r="J596" s="161" t="s">
        <v>105</v>
      </c>
      <c r="K596" s="21" t="s">
        <v>106</v>
      </c>
      <c r="L596" s="161" t="s">
        <v>3380</v>
      </c>
      <c r="M596" s="21" t="s">
        <v>235</v>
      </c>
      <c r="N596" s="161" t="s">
        <v>67</v>
      </c>
      <c r="O596" s="21" t="s">
        <v>68</v>
      </c>
      <c r="P596" s="161" t="s">
        <v>109</v>
      </c>
      <c r="Q596" s="21" t="s">
        <v>70</v>
      </c>
      <c r="R596" s="161">
        <v>70</v>
      </c>
      <c r="S596" s="161" t="s">
        <v>3227</v>
      </c>
      <c r="T596" s="161" t="s">
        <v>174</v>
      </c>
      <c r="U596" s="161" t="s">
        <v>73</v>
      </c>
      <c r="V596" s="21" t="s">
        <v>74</v>
      </c>
      <c r="W596" s="21" t="s">
        <v>257</v>
      </c>
      <c r="X596" s="161" t="s">
        <v>373</v>
      </c>
      <c r="Y596" s="161">
        <v>0.04</v>
      </c>
      <c r="Z596" s="161">
        <v>15</v>
      </c>
      <c r="AA596" s="161" t="s">
        <v>77</v>
      </c>
      <c r="AB596" s="161" t="s">
        <v>114</v>
      </c>
      <c r="AC596" s="266" t="str">
        <f>HYPERLINK("https://gcsvt.ru/svetodiodnyie-svetilniki/svt-str-mpro-102w-45x140-quattro/","Ссылка")</f>
        <v>Ссылка</v>
      </c>
      <c r="AD596" s="167">
        <v>65257</v>
      </c>
    </row>
    <row r="597" spans="1:30" s="161" customFormat="1" ht="39.950000000000003" hidden="1" customHeight="1" outlineLevel="2" x14ac:dyDescent="0.25">
      <c r="A597" s="186"/>
      <c r="B597" s="47" t="s">
        <v>253</v>
      </c>
      <c r="C597" s="159"/>
      <c r="K597" s="21"/>
      <c r="M597" s="21"/>
      <c r="O597" s="21"/>
      <c r="Q597" s="21"/>
      <c r="V597" s="21"/>
      <c r="W597" s="21"/>
      <c r="AC597" s="228"/>
      <c r="AD597" s="167"/>
    </row>
    <row r="598" spans="1:30" s="161" customFormat="1" ht="39.950000000000003" hidden="1" customHeight="1" outlineLevel="1" collapsed="1" x14ac:dyDescent="0.25">
      <c r="A598" s="184"/>
      <c r="B598" s="217" t="s">
        <v>386</v>
      </c>
      <c r="C598" s="218"/>
      <c r="K598" s="21"/>
      <c r="M598" s="21"/>
      <c r="O598" s="21"/>
      <c r="Q598" s="21"/>
      <c r="V598" s="21"/>
      <c r="W598" s="21"/>
      <c r="AC598" s="228"/>
      <c r="AD598" s="167"/>
    </row>
    <row r="599" spans="1:30" s="161" customFormat="1" ht="39.950000000000003" hidden="1" customHeight="1" outlineLevel="2" x14ac:dyDescent="0.25">
      <c r="A599" s="171"/>
      <c r="B599" s="21" t="s">
        <v>386</v>
      </c>
      <c r="C599" s="159" t="s">
        <v>387</v>
      </c>
      <c r="D599" s="161">
        <v>5880</v>
      </c>
      <c r="E599" s="161">
        <v>42</v>
      </c>
      <c r="F599" s="161">
        <v>140</v>
      </c>
      <c r="G599" s="161" t="s">
        <v>388</v>
      </c>
      <c r="H599" s="161" t="s">
        <v>177</v>
      </c>
      <c r="I599" s="161">
        <v>67</v>
      </c>
      <c r="J599" s="161" t="s">
        <v>105</v>
      </c>
      <c r="K599" s="21" t="s">
        <v>106</v>
      </c>
      <c r="L599" s="161" t="s">
        <v>3380</v>
      </c>
      <c r="M599" s="21" t="s">
        <v>107</v>
      </c>
      <c r="N599" s="161" t="s">
        <v>108</v>
      </c>
      <c r="O599" s="21" t="s">
        <v>68</v>
      </c>
      <c r="P599" s="161" t="s">
        <v>109</v>
      </c>
      <c r="Q599" s="21" t="s">
        <v>2288</v>
      </c>
      <c r="R599" s="161">
        <v>70</v>
      </c>
      <c r="S599" s="161" t="s">
        <v>173</v>
      </c>
      <c r="T599" s="161" t="s">
        <v>390</v>
      </c>
      <c r="U599" s="161" t="s">
        <v>73</v>
      </c>
      <c r="V599" s="21" t="s">
        <v>74</v>
      </c>
      <c r="W599" s="21" t="s">
        <v>112</v>
      </c>
      <c r="X599" s="161" t="s">
        <v>148</v>
      </c>
      <c r="Y599" s="161">
        <v>0.01</v>
      </c>
      <c r="Z599" s="161">
        <v>1.6</v>
      </c>
      <c r="AA599" s="161" t="s">
        <v>77</v>
      </c>
      <c r="AB599" s="161" t="s">
        <v>391</v>
      </c>
      <c r="AC599" s="266" t="str">
        <f>HYPERLINK("https://gcsvt.ru/svetodiodnyie-svetilniki/svt-str-mpro-max-42w-20/","Ссылка")</f>
        <v>Ссылка</v>
      </c>
      <c r="AD599" s="167">
        <v>6891</v>
      </c>
    </row>
    <row r="600" spans="1:30" s="161" customFormat="1" ht="39.950000000000003" hidden="1" customHeight="1" outlineLevel="2" x14ac:dyDescent="0.25">
      <c r="A600" s="171"/>
      <c r="B600" s="21" t="s">
        <v>386</v>
      </c>
      <c r="C600" s="159" t="s">
        <v>392</v>
      </c>
      <c r="D600" s="161">
        <v>5880</v>
      </c>
      <c r="E600" s="161">
        <v>42</v>
      </c>
      <c r="F600" s="161">
        <v>140</v>
      </c>
      <c r="G600" s="161" t="s">
        <v>393</v>
      </c>
      <c r="H600" s="161" t="s">
        <v>180</v>
      </c>
      <c r="I600" s="161">
        <v>67</v>
      </c>
      <c r="J600" s="161" t="s">
        <v>3904</v>
      </c>
      <c r="K600" s="21" t="s">
        <v>106</v>
      </c>
      <c r="L600" s="161" t="s">
        <v>3380</v>
      </c>
      <c r="M600" s="21" t="s">
        <v>107</v>
      </c>
      <c r="N600" s="161" t="s">
        <v>108</v>
      </c>
      <c r="O600" s="21" t="s">
        <v>68</v>
      </c>
      <c r="P600" s="161" t="s">
        <v>109</v>
      </c>
      <c r="Q600" s="21" t="s">
        <v>2288</v>
      </c>
      <c r="R600" s="161">
        <v>70</v>
      </c>
      <c r="S600" s="161" t="s">
        <v>173</v>
      </c>
      <c r="T600" s="161" t="s">
        <v>390</v>
      </c>
      <c r="U600" s="161" t="s">
        <v>73</v>
      </c>
      <c r="V600" s="21" t="s">
        <v>74</v>
      </c>
      <c r="W600" s="21" t="s">
        <v>112</v>
      </c>
      <c r="X600" s="161" t="s">
        <v>148</v>
      </c>
      <c r="Y600" s="161">
        <v>0.01</v>
      </c>
      <c r="Z600" s="161">
        <v>1.6</v>
      </c>
      <c r="AA600" s="161" t="s">
        <v>77</v>
      </c>
      <c r="AB600" s="161" t="s">
        <v>391</v>
      </c>
      <c r="AC600" s="266" t="str">
        <f>HYPERLINK("https://gcsvt.ru/svetodiodnyie-svetilniki/svt-str-mpro-max-42w-35/","Ссылка")</f>
        <v>Ссылка</v>
      </c>
      <c r="AD600" s="167">
        <v>6891</v>
      </c>
    </row>
    <row r="601" spans="1:30" s="161" customFormat="1" ht="39.950000000000003" hidden="1" customHeight="1" outlineLevel="2" x14ac:dyDescent="0.25">
      <c r="A601" s="171"/>
      <c r="B601" s="21" t="s">
        <v>386</v>
      </c>
      <c r="C601" s="159" t="s">
        <v>394</v>
      </c>
      <c r="D601" s="161">
        <v>5880</v>
      </c>
      <c r="E601" s="161">
        <v>42</v>
      </c>
      <c r="F601" s="161">
        <v>140</v>
      </c>
      <c r="G601" s="161" t="s">
        <v>395</v>
      </c>
      <c r="H601" s="161" t="s">
        <v>183</v>
      </c>
      <c r="I601" s="161">
        <v>67</v>
      </c>
      <c r="J601" s="161" t="s">
        <v>105</v>
      </c>
      <c r="K601" s="21" t="s">
        <v>106</v>
      </c>
      <c r="L601" s="161" t="s">
        <v>3380</v>
      </c>
      <c r="M601" s="21" t="s">
        <v>107</v>
      </c>
      <c r="N601" s="161" t="s">
        <v>108</v>
      </c>
      <c r="O601" s="21" t="s">
        <v>68</v>
      </c>
      <c r="P601" s="161" t="s">
        <v>109</v>
      </c>
      <c r="Q601" s="21" t="s">
        <v>2288</v>
      </c>
      <c r="R601" s="161">
        <v>70</v>
      </c>
      <c r="S601" s="161" t="s">
        <v>173</v>
      </c>
      <c r="T601" s="161" t="s">
        <v>390</v>
      </c>
      <c r="U601" s="161" t="s">
        <v>73</v>
      </c>
      <c r="V601" s="21" t="s">
        <v>74</v>
      </c>
      <c r="W601" s="21" t="s">
        <v>112</v>
      </c>
      <c r="X601" s="161" t="s">
        <v>148</v>
      </c>
      <c r="Y601" s="161">
        <v>0.01</v>
      </c>
      <c r="Z601" s="161">
        <v>1.6</v>
      </c>
      <c r="AA601" s="161" t="s">
        <v>77</v>
      </c>
      <c r="AB601" s="161" t="s">
        <v>391</v>
      </c>
      <c r="AC601" s="266" t="str">
        <f>HYPERLINK("https://gcsvt.ru/svetodiodnyie-svetilniki/svt-str-mpro-max-42w-65/","Ссылка")</f>
        <v>Ссылка</v>
      </c>
      <c r="AD601" s="167">
        <v>6891</v>
      </c>
    </row>
    <row r="602" spans="1:30" s="161" customFormat="1" ht="39.950000000000003" hidden="1" customHeight="1" outlineLevel="2" x14ac:dyDescent="0.25">
      <c r="A602" s="171"/>
      <c r="B602" s="21" t="s">
        <v>386</v>
      </c>
      <c r="C602" s="159" t="s">
        <v>396</v>
      </c>
      <c r="D602" s="161">
        <v>5880</v>
      </c>
      <c r="E602" s="161">
        <v>42</v>
      </c>
      <c r="F602" s="161">
        <v>140</v>
      </c>
      <c r="G602" s="161" t="s">
        <v>397</v>
      </c>
      <c r="H602" s="161" t="s">
        <v>186</v>
      </c>
      <c r="I602" s="161">
        <v>67</v>
      </c>
      <c r="J602" s="161" t="s">
        <v>3904</v>
      </c>
      <c r="K602" s="21" t="s">
        <v>106</v>
      </c>
      <c r="L602" s="161" t="s">
        <v>3380</v>
      </c>
      <c r="M602" s="21" t="s">
        <v>107</v>
      </c>
      <c r="N602" s="161" t="s">
        <v>108</v>
      </c>
      <c r="O602" s="21" t="s">
        <v>68</v>
      </c>
      <c r="P602" s="161" t="s">
        <v>109</v>
      </c>
      <c r="Q602" s="21" t="s">
        <v>2288</v>
      </c>
      <c r="R602" s="161">
        <v>70</v>
      </c>
      <c r="S602" s="161" t="s">
        <v>173</v>
      </c>
      <c r="T602" s="161" t="s">
        <v>390</v>
      </c>
      <c r="U602" s="161" t="s">
        <v>73</v>
      </c>
      <c r="V602" s="21" t="s">
        <v>74</v>
      </c>
      <c r="W602" s="21" t="s">
        <v>112</v>
      </c>
      <c r="X602" s="161" t="s">
        <v>148</v>
      </c>
      <c r="Y602" s="161">
        <v>0.01</v>
      </c>
      <c r="Z602" s="161">
        <v>1.6</v>
      </c>
      <c r="AA602" s="161" t="s">
        <v>77</v>
      </c>
      <c r="AB602" s="161" t="s">
        <v>391</v>
      </c>
      <c r="AC602" s="266" t="str">
        <f>HYPERLINK("https://gcsvt.ru/svetodiodnyie-svetilniki/svt-str-mpro-max-42w-100/","Ссылка")</f>
        <v>Ссылка</v>
      </c>
      <c r="AD602" s="167">
        <v>6891</v>
      </c>
    </row>
    <row r="603" spans="1:30" s="161" customFormat="1" ht="39.950000000000003" hidden="1" customHeight="1" outlineLevel="2" x14ac:dyDescent="0.25">
      <c r="A603" s="171"/>
      <c r="B603" s="21" t="s">
        <v>386</v>
      </c>
      <c r="C603" s="159" t="s">
        <v>398</v>
      </c>
      <c r="D603" s="161">
        <v>5880</v>
      </c>
      <c r="E603" s="161">
        <v>42</v>
      </c>
      <c r="F603" s="161">
        <v>140</v>
      </c>
      <c r="G603" s="161" t="s">
        <v>399</v>
      </c>
      <c r="H603" s="161" t="s">
        <v>189</v>
      </c>
      <c r="I603" s="161">
        <v>67</v>
      </c>
      <c r="J603" s="161" t="s">
        <v>105</v>
      </c>
      <c r="K603" s="21" t="s">
        <v>106</v>
      </c>
      <c r="L603" s="161" t="s">
        <v>3380</v>
      </c>
      <c r="M603" s="21" t="s">
        <v>107</v>
      </c>
      <c r="N603" s="161" t="s">
        <v>108</v>
      </c>
      <c r="O603" s="21" t="s">
        <v>68</v>
      </c>
      <c r="P603" s="161" t="s">
        <v>109</v>
      </c>
      <c r="Q603" s="21" t="s">
        <v>2288</v>
      </c>
      <c r="R603" s="161">
        <v>70</v>
      </c>
      <c r="S603" s="161" t="s">
        <v>173</v>
      </c>
      <c r="T603" s="161" t="s">
        <v>390</v>
      </c>
      <c r="U603" s="161" t="s">
        <v>73</v>
      </c>
      <c r="V603" s="21" t="s">
        <v>74</v>
      </c>
      <c r="W603" s="21" t="s">
        <v>112</v>
      </c>
      <c r="X603" s="161" t="s">
        <v>148</v>
      </c>
      <c r="Y603" s="161">
        <v>0.01</v>
      </c>
      <c r="Z603" s="161">
        <v>1.6</v>
      </c>
      <c r="AA603" s="161" t="s">
        <v>77</v>
      </c>
      <c r="AB603" s="161" t="s">
        <v>391</v>
      </c>
      <c r="AC603" s="266" t="str">
        <f>HYPERLINK("https://gcsvt.ru/svetodiodnyie-svetilniki/svt-str-mpro-max-42w-30x120/","Ссылка")</f>
        <v>Ссылка</v>
      </c>
      <c r="AD603" s="167">
        <v>6891</v>
      </c>
    </row>
    <row r="604" spans="1:30" s="161" customFormat="1" ht="39.950000000000003" hidden="1" customHeight="1" outlineLevel="2" x14ac:dyDescent="0.25">
      <c r="A604" s="171"/>
      <c r="B604" s="21" t="s">
        <v>386</v>
      </c>
      <c r="C604" s="159" t="s">
        <v>400</v>
      </c>
      <c r="D604" s="161">
        <v>5880</v>
      </c>
      <c r="E604" s="161">
        <v>42</v>
      </c>
      <c r="F604" s="161">
        <v>140</v>
      </c>
      <c r="G604" s="161" t="s">
        <v>401</v>
      </c>
      <c r="H604" s="161" t="s">
        <v>192</v>
      </c>
      <c r="I604" s="161">
        <v>67</v>
      </c>
      <c r="J604" s="161" t="s">
        <v>3904</v>
      </c>
      <c r="K604" s="21" t="s">
        <v>106</v>
      </c>
      <c r="L604" s="161" t="s">
        <v>3380</v>
      </c>
      <c r="M604" s="21" t="s">
        <v>107</v>
      </c>
      <c r="N604" s="161" t="s">
        <v>108</v>
      </c>
      <c r="O604" s="21" t="s">
        <v>68</v>
      </c>
      <c r="P604" s="161" t="s">
        <v>109</v>
      </c>
      <c r="Q604" s="21" t="s">
        <v>2288</v>
      </c>
      <c r="R604" s="161">
        <v>70</v>
      </c>
      <c r="S604" s="161" t="s">
        <v>173</v>
      </c>
      <c r="T604" s="161" t="s">
        <v>390</v>
      </c>
      <c r="U604" s="161" t="s">
        <v>73</v>
      </c>
      <c r="V604" s="21" t="s">
        <v>74</v>
      </c>
      <c r="W604" s="21" t="s">
        <v>112</v>
      </c>
      <c r="X604" s="161" t="s">
        <v>148</v>
      </c>
      <c r="Y604" s="161">
        <v>0.01</v>
      </c>
      <c r="Z604" s="161">
        <v>1.6</v>
      </c>
      <c r="AA604" s="161" t="s">
        <v>77</v>
      </c>
      <c r="AB604" s="161" t="s">
        <v>391</v>
      </c>
      <c r="AC604" s="266" t="str">
        <f>HYPERLINK("https://gcsvt.ru/svetodiodnyie-svetilniki/svt-str-mpro-max-42w-vsm/","Ссылка")</f>
        <v>Ссылка</v>
      </c>
      <c r="AD604" s="167">
        <v>6891</v>
      </c>
    </row>
    <row r="605" spans="1:30" s="161" customFormat="1" ht="39.950000000000003" hidden="1" customHeight="1" outlineLevel="2" x14ac:dyDescent="0.25">
      <c r="A605" s="171"/>
      <c r="B605" s="21" t="s">
        <v>386</v>
      </c>
      <c r="C605" s="159" t="s">
        <v>402</v>
      </c>
      <c r="D605" s="161">
        <v>5880</v>
      </c>
      <c r="E605" s="161">
        <v>42</v>
      </c>
      <c r="F605" s="161">
        <v>140</v>
      </c>
      <c r="G605" s="161" t="s">
        <v>403</v>
      </c>
      <c r="H605" s="161" t="s">
        <v>63</v>
      </c>
      <c r="I605" s="161">
        <v>67</v>
      </c>
      <c r="J605" s="161" t="s">
        <v>105</v>
      </c>
      <c r="K605" s="21" t="s">
        <v>106</v>
      </c>
      <c r="L605" s="161" t="s">
        <v>3380</v>
      </c>
      <c r="M605" s="21" t="s">
        <v>107</v>
      </c>
      <c r="N605" s="161" t="s">
        <v>108</v>
      </c>
      <c r="O605" s="21" t="s">
        <v>68</v>
      </c>
      <c r="P605" s="161" t="s">
        <v>109</v>
      </c>
      <c r="Q605" s="21" t="s">
        <v>2288</v>
      </c>
      <c r="R605" s="161">
        <v>70</v>
      </c>
      <c r="S605" s="161" t="s">
        <v>173</v>
      </c>
      <c r="T605" s="161" t="s">
        <v>390</v>
      </c>
      <c r="U605" s="161" t="s">
        <v>73</v>
      </c>
      <c r="V605" s="21" t="s">
        <v>74</v>
      </c>
      <c r="W605" s="21" t="s">
        <v>112</v>
      </c>
      <c r="X605" s="161" t="s">
        <v>148</v>
      </c>
      <c r="Y605" s="161">
        <v>0.01</v>
      </c>
      <c r="Z605" s="161">
        <v>1.6</v>
      </c>
      <c r="AA605" s="161" t="s">
        <v>77</v>
      </c>
      <c r="AB605" s="161" t="s">
        <v>391</v>
      </c>
      <c r="AC605" s="266" t="str">
        <f>HYPERLINK("https://gcsvt.ru/svetodiodnyie-svetilniki/svt-str-mpro-max-42w-45x140/","Ссылка")</f>
        <v>Ссылка</v>
      </c>
      <c r="AD605" s="167">
        <v>6891</v>
      </c>
    </row>
    <row r="606" spans="1:30" s="161" customFormat="1" ht="39.950000000000003" hidden="1" customHeight="1" outlineLevel="2" x14ac:dyDescent="0.25">
      <c r="A606" s="171"/>
      <c r="B606" s="21" t="s">
        <v>386</v>
      </c>
      <c r="C606" s="159" t="s">
        <v>404</v>
      </c>
      <c r="D606" s="161">
        <v>5880</v>
      </c>
      <c r="E606" s="161">
        <v>42</v>
      </c>
      <c r="F606" s="161">
        <v>140</v>
      </c>
      <c r="G606" s="161" t="s">
        <v>405</v>
      </c>
      <c r="H606" s="161" t="s">
        <v>63</v>
      </c>
      <c r="I606" s="161">
        <v>67</v>
      </c>
      <c r="J606" s="161" t="s">
        <v>3904</v>
      </c>
      <c r="K606" s="21" t="s">
        <v>106</v>
      </c>
      <c r="L606" s="161" t="s">
        <v>3380</v>
      </c>
      <c r="M606" s="21" t="s">
        <v>107</v>
      </c>
      <c r="N606" s="161" t="s">
        <v>108</v>
      </c>
      <c r="O606" s="21" t="s">
        <v>68</v>
      </c>
      <c r="P606" s="161" t="s">
        <v>109</v>
      </c>
      <c r="Q606" s="21" t="s">
        <v>2288</v>
      </c>
      <c r="R606" s="161">
        <v>70</v>
      </c>
      <c r="S606" s="161" t="s">
        <v>173</v>
      </c>
      <c r="T606" s="161" t="s">
        <v>390</v>
      </c>
      <c r="U606" s="161" t="s">
        <v>73</v>
      </c>
      <c r="V606" s="21" t="s">
        <v>74</v>
      </c>
      <c r="W606" s="21" t="s">
        <v>160</v>
      </c>
      <c r="X606" s="161" t="s">
        <v>164</v>
      </c>
      <c r="Y606" s="161">
        <v>0.01</v>
      </c>
      <c r="Z606" s="161">
        <v>1.6</v>
      </c>
      <c r="AA606" s="161" t="s">
        <v>77</v>
      </c>
      <c r="AB606" s="161" t="s">
        <v>391</v>
      </c>
      <c r="AC606" s="266" t="str">
        <f>HYPERLINK("https://gcsvt.ru/svetodiodnyie-svetilniki/svt-str-mpro-max-42w-45x140-c/","Ссылка")</f>
        <v>Ссылка</v>
      </c>
      <c r="AD606" s="167">
        <v>6891</v>
      </c>
    </row>
    <row r="607" spans="1:30" s="161" customFormat="1" ht="39.950000000000003" hidden="1" customHeight="1" outlineLevel="2" x14ac:dyDescent="0.25">
      <c r="A607" s="171"/>
      <c r="B607" s="21" t="s">
        <v>386</v>
      </c>
      <c r="C607" s="159" t="s">
        <v>406</v>
      </c>
      <c r="D607" s="161">
        <v>11710</v>
      </c>
      <c r="E607" s="161">
        <v>81</v>
      </c>
      <c r="F607" s="161">
        <v>144</v>
      </c>
      <c r="G607" s="161" t="s">
        <v>407</v>
      </c>
      <c r="H607" s="161" t="s">
        <v>177</v>
      </c>
      <c r="I607" s="161">
        <v>67</v>
      </c>
      <c r="J607" s="161" t="s">
        <v>105</v>
      </c>
      <c r="K607" s="21" t="s">
        <v>106</v>
      </c>
      <c r="L607" s="161" t="s">
        <v>3380</v>
      </c>
      <c r="M607" s="21" t="s">
        <v>157</v>
      </c>
      <c r="N607" s="161" t="s">
        <v>67</v>
      </c>
      <c r="O607" s="21" t="s">
        <v>68</v>
      </c>
      <c r="P607" s="161" t="s">
        <v>109</v>
      </c>
      <c r="Q607" s="21" t="s">
        <v>2288</v>
      </c>
      <c r="R607" s="161">
        <v>70</v>
      </c>
      <c r="S607" s="161" t="s">
        <v>197</v>
      </c>
      <c r="T607" s="161" t="s">
        <v>390</v>
      </c>
      <c r="U607" s="161" t="s">
        <v>73</v>
      </c>
      <c r="V607" s="21" t="s">
        <v>74</v>
      </c>
      <c r="W607" s="21" t="s">
        <v>112</v>
      </c>
      <c r="X607" s="161" t="s">
        <v>156</v>
      </c>
      <c r="Y607" s="161">
        <v>0.01</v>
      </c>
      <c r="Z607" s="161">
        <v>2.2000000000000002</v>
      </c>
      <c r="AA607" s="161" t="s">
        <v>77</v>
      </c>
      <c r="AB607" s="161" t="s">
        <v>391</v>
      </c>
      <c r="AC607" s="266" t="str">
        <f>HYPERLINK("https://gcsvt.ru/svetodiodnyie-svetilniki/svt-str-mpro-max-81w-20/","Ссылка")</f>
        <v>Ссылка</v>
      </c>
      <c r="AD607" s="167">
        <v>11401</v>
      </c>
    </row>
    <row r="608" spans="1:30" s="161" customFormat="1" ht="39.950000000000003" hidden="1" customHeight="1" outlineLevel="2" x14ac:dyDescent="0.25">
      <c r="A608" s="171"/>
      <c r="B608" s="21" t="s">
        <v>386</v>
      </c>
      <c r="C608" s="159" t="s">
        <v>408</v>
      </c>
      <c r="D608" s="161">
        <v>11710</v>
      </c>
      <c r="E608" s="161">
        <v>81</v>
      </c>
      <c r="F608" s="161">
        <v>144</v>
      </c>
      <c r="G608" s="161" t="s">
        <v>409</v>
      </c>
      <c r="H608" s="161" t="s">
        <v>180</v>
      </c>
      <c r="I608" s="161">
        <v>67</v>
      </c>
      <c r="J608" s="161" t="s">
        <v>3904</v>
      </c>
      <c r="K608" s="21" t="s">
        <v>106</v>
      </c>
      <c r="L608" s="161" t="s">
        <v>3380</v>
      </c>
      <c r="M608" s="21" t="s">
        <v>157</v>
      </c>
      <c r="N608" s="161" t="s">
        <v>67</v>
      </c>
      <c r="O608" s="21" t="s">
        <v>68</v>
      </c>
      <c r="P608" s="161" t="s">
        <v>109</v>
      </c>
      <c r="Q608" s="21" t="s">
        <v>2288</v>
      </c>
      <c r="R608" s="161">
        <v>70</v>
      </c>
      <c r="S608" s="161" t="s">
        <v>197</v>
      </c>
      <c r="T608" s="161" t="s">
        <v>390</v>
      </c>
      <c r="U608" s="161" t="s">
        <v>73</v>
      </c>
      <c r="V608" s="21" t="s">
        <v>74</v>
      </c>
      <c r="W608" s="21" t="s">
        <v>112</v>
      </c>
      <c r="X608" s="161" t="s">
        <v>156</v>
      </c>
      <c r="Y608" s="161">
        <v>0.01</v>
      </c>
      <c r="Z608" s="161">
        <v>2.2000000000000002</v>
      </c>
      <c r="AA608" s="161" t="s">
        <v>77</v>
      </c>
      <c r="AB608" s="161" t="s">
        <v>391</v>
      </c>
      <c r="AC608" s="266" t="str">
        <f>HYPERLINK("https://gcsvt.ru/svetodiodnyie-svetilniki/svt-str-mpro-max-81w-35/","Ссылка")</f>
        <v>Ссылка</v>
      </c>
      <c r="AD608" s="167">
        <v>11401</v>
      </c>
    </row>
    <row r="609" spans="1:30" s="161" customFormat="1" ht="39.950000000000003" hidden="1" customHeight="1" outlineLevel="2" x14ac:dyDescent="0.25">
      <c r="A609" s="171"/>
      <c r="B609" s="21" t="s">
        <v>386</v>
      </c>
      <c r="C609" s="159" t="s">
        <v>410</v>
      </c>
      <c r="D609" s="161">
        <v>11710</v>
      </c>
      <c r="E609" s="161">
        <v>81</v>
      </c>
      <c r="F609" s="161">
        <v>144</v>
      </c>
      <c r="G609" s="161" t="s">
        <v>411</v>
      </c>
      <c r="H609" s="161" t="s">
        <v>183</v>
      </c>
      <c r="I609" s="161">
        <v>67</v>
      </c>
      <c r="J609" s="161" t="s">
        <v>105</v>
      </c>
      <c r="K609" s="21" t="s">
        <v>106</v>
      </c>
      <c r="L609" s="161" t="s">
        <v>3380</v>
      </c>
      <c r="M609" s="21" t="s">
        <v>157</v>
      </c>
      <c r="N609" s="161" t="s">
        <v>67</v>
      </c>
      <c r="O609" s="21" t="s">
        <v>68</v>
      </c>
      <c r="P609" s="161" t="s">
        <v>109</v>
      </c>
      <c r="Q609" s="21" t="s">
        <v>2288</v>
      </c>
      <c r="R609" s="161">
        <v>70</v>
      </c>
      <c r="S609" s="161" t="s">
        <v>197</v>
      </c>
      <c r="T609" s="161" t="s">
        <v>390</v>
      </c>
      <c r="U609" s="161" t="s">
        <v>73</v>
      </c>
      <c r="V609" s="21" t="s">
        <v>74</v>
      </c>
      <c r="W609" s="21" t="s">
        <v>112</v>
      </c>
      <c r="X609" s="161" t="s">
        <v>156</v>
      </c>
      <c r="Y609" s="161">
        <v>0.01</v>
      </c>
      <c r="Z609" s="161">
        <v>2.2000000000000002</v>
      </c>
      <c r="AA609" s="161" t="s">
        <v>77</v>
      </c>
      <c r="AB609" s="161" t="s">
        <v>391</v>
      </c>
      <c r="AC609" s="266" t="str">
        <f>HYPERLINK("https://gcsvt.ru/svetodiodnyie-svetilniki/svt-str-mpro-max-81w-65/","Ссылка")</f>
        <v>Ссылка</v>
      </c>
      <c r="AD609" s="167">
        <v>11401</v>
      </c>
    </row>
    <row r="610" spans="1:30" s="161" customFormat="1" ht="39.950000000000003" hidden="1" customHeight="1" outlineLevel="2" x14ac:dyDescent="0.25">
      <c r="A610" s="171"/>
      <c r="B610" s="21" t="s">
        <v>386</v>
      </c>
      <c r="C610" s="159" t="s">
        <v>412</v>
      </c>
      <c r="D610" s="161">
        <v>11710</v>
      </c>
      <c r="E610" s="161">
        <v>81</v>
      </c>
      <c r="F610" s="161">
        <v>144</v>
      </c>
      <c r="G610" s="161" t="s">
        <v>413</v>
      </c>
      <c r="H610" s="161" t="s">
        <v>186</v>
      </c>
      <c r="I610" s="161">
        <v>67</v>
      </c>
      <c r="J610" s="161" t="s">
        <v>3904</v>
      </c>
      <c r="K610" s="21" t="s">
        <v>106</v>
      </c>
      <c r="L610" s="161" t="s">
        <v>3380</v>
      </c>
      <c r="M610" s="21" t="s">
        <v>157</v>
      </c>
      <c r="N610" s="161" t="s">
        <v>67</v>
      </c>
      <c r="O610" s="21" t="s">
        <v>68</v>
      </c>
      <c r="P610" s="161" t="s">
        <v>109</v>
      </c>
      <c r="Q610" s="21" t="s">
        <v>2288</v>
      </c>
      <c r="R610" s="161">
        <v>70</v>
      </c>
      <c r="S610" s="161" t="s">
        <v>197</v>
      </c>
      <c r="T610" s="161" t="s">
        <v>390</v>
      </c>
      <c r="U610" s="161" t="s">
        <v>73</v>
      </c>
      <c r="V610" s="21" t="s">
        <v>74</v>
      </c>
      <c r="W610" s="21" t="s">
        <v>112</v>
      </c>
      <c r="X610" s="161" t="s">
        <v>156</v>
      </c>
      <c r="Y610" s="161">
        <v>0.01</v>
      </c>
      <c r="Z610" s="161">
        <v>2.2000000000000002</v>
      </c>
      <c r="AA610" s="161" t="s">
        <v>77</v>
      </c>
      <c r="AB610" s="161" t="s">
        <v>391</v>
      </c>
      <c r="AC610" s="266" t="str">
        <f>HYPERLINK("https://gcsvt.ru/svetodiodnyie-svetilniki/svt-str-mpro-max-81w-100/","Ссылка")</f>
        <v>Ссылка</v>
      </c>
      <c r="AD610" s="167">
        <v>11401</v>
      </c>
    </row>
    <row r="611" spans="1:30" s="161" customFormat="1" ht="39.950000000000003" hidden="1" customHeight="1" outlineLevel="2" x14ac:dyDescent="0.25">
      <c r="A611" s="171"/>
      <c r="B611" s="21" t="s">
        <v>386</v>
      </c>
      <c r="C611" s="159" t="s">
        <v>414</v>
      </c>
      <c r="D611" s="161">
        <v>11710</v>
      </c>
      <c r="E611" s="161">
        <v>81</v>
      </c>
      <c r="F611" s="161">
        <v>144</v>
      </c>
      <c r="G611" s="161" t="s">
        <v>415</v>
      </c>
      <c r="H611" s="161" t="s">
        <v>189</v>
      </c>
      <c r="I611" s="161">
        <v>67</v>
      </c>
      <c r="J611" s="161" t="s">
        <v>105</v>
      </c>
      <c r="K611" s="21" t="s">
        <v>106</v>
      </c>
      <c r="L611" s="161" t="s">
        <v>3380</v>
      </c>
      <c r="M611" s="21" t="s">
        <v>157</v>
      </c>
      <c r="N611" s="161" t="s">
        <v>67</v>
      </c>
      <c r="O611" s="21" t="s">
        <v>68</v>
      </c>
      <c r="P611" s="161" t="s">
        <v>109</v>
      </c>
      <c r="Q611" s="21" t="s">
        <v>2288</v>
      </c>
      <c r="R611" s="161">
        <v>70</v>
      </c>
      <c r="S611" s="161" t="s">
        <v>197</v>
      </c>
      <c r="T611" s="161" t="s">
        <v>390</v>
      </c>
      <c r="U611" s="161" t="s">
        <v>73</v>
      </c>
      <c r="V611" s="21" t="s">
        <v>74</v>
      </c>
      <c r="W611" s="21" t="s">
        <v>112</v>
      </c>
      <c r="X611" s="161" t="s">
        <v>156</v>
      </c>
      <c r="Y611" s="161">
        <v>0.01</v>
      </c>
      <c r="Z611" s="161">
        <v>2.2000000000000002</v>
      </c>
      <c r="AA611" s="161" t="s">
        <v>77</v>
      </c>
      <c r="AB611" s="161" t="s">
        <v>391</v>
      </c>
      <c r="AC611" s="266" t="str">
        <f>HYPERLINK("https://gcsvt.ru/svetodiodnyie-svetilniki/svt-str-mpro-max-81w-30x120/","Ссылка")</f>
        <v>Ссылка</v>
      </c>
      <c r="AD611" s="167">
        <v>11401</v>
      </c>
    </row>
    <row r="612" spans="1:30" s="161" customFormat="1" ht="39.950000000000003" hidden="1" customHeight="1" outlineLevel="2" x14ac:dyDescent="0.25">
      <c r="A612" s="171"/>
      <c r="B612" s="21" t="s">
        <v>386</v>
      </c>
      <c r="C612" s="159" t="s">
        <v>416</v>
      </c>
      <c r="D612" s="161">
        <v>11710</v>
      </c>
      <c r="E612" s="161">
        <v>81</v>
      </c>
      <c r="F612" s="161">
        <v>144</v>
      </c>
      <c r="G612" s="161" t="s">
        <v>417</v>
      </c>
      <c r="H612" s="161" t="s">
        <v>192</v>
      </c>
      <c r="I612" s="161">
        <v>67</v>
      </c>
      <c r="J612" s="161" t="s">
        <v>3904</v>
      </c>
      <c r="K612" s="21" t="s">
        <v>106</v>
      </c>
      <c r="L612" s="161" t="s">
        <v>3380</v>
      </c>
      <c r="M612" s="21" t="s">
        <v>157</v>
      </c>
      <c r="N612" s="161" t="s">
        <v>67</v>
      </c>
      <c r="O612" s="21" t="s">
        <v>68</v>
      </c>
      <c r="P612" s="161" t="s">
        <v>109</v>
      </c>
      <c r="Q612" s="21" t="s">
        <v>2288</v>
      </c>
      <c r="R612" s="161">
        <v>70</v>
      </c>
      <c r="S612" s="161" t="s">
        <v>197</v>
      </c>
      <c r="T612" s="161" t="s">
        <v>390</v>
      </c>
      <c r="U612" s="161" t="s">
        <v>73</v>
      </c>
      <c r="V612" s="21" t="s">
        <v>74</v>
      </c>
      <c r="W612" s="21" t="s">
        <v>112</v>
      </c>
      <c r="X612" s="161" t="s">
        <v>156</v>
      </c>
      <c r="Y612" s="161">
        <v>0.01</v>
      </c>
      <c r="Z612" s="161">
        <v>2.2000000000000002</v>
      </c>
      <c r="AA612" s="161" t="s">
        <v>77</v>
      </c>
      <c r="AB612" s="161" t="s">
        <v>391</v>
      </c>
      <c r="AC612" s="266" t="str">
        <f>HYPERLINK("https://gcsvt.ru/svetodiodnyie-svetilniki/svt-str-mpro-max-81w-vsm/","Ссылка")</f>
        <v>Ссылка</v>
      </c>
      <c r="AD612" s="167">
        <v>11401</v>
      </c>
    </row>
    <row r="613" spans="1:30" s="161" customFormat="1" ht="39.950000000000003" hidden="1" customHeight="1" outlineLevel="2" x14ac:dyDescent="0.25">
      <c r="A613" s="171"/>
      <c r="B613" s="21" t="s">
        <v>386</v>
      </c>
      <c r="C613" s="159" t="s">
        <v>418</v>
      </c>
      <c r="D613" s="161">
        <v>11710</v>
      </c>
      <c r="E613" s="161">
        <v>81</v>
      </c>
      <c r="F613" s="161">
        <v>144</v>
      </c>
      <c r="G613" s="161" t="s">
        <v>419</v>
      </c>
      <c r="H613" s="161" t="s">
        <v>63</v>
      </c>
      <c r="I613" s="161">
        <v>67</v>
      </c>
      <c r="J613" s="161" t="s">
        <v>105</v>
      </c>
      <c r="K613" s="21" t="s">
        <v>106</v>
      </c>
      <c r="L613" s="161" t="s">
        <v>3380</v>
      </c>
      <c r="M613" s="21" t="s">
        <v>157</v>
      </c>
      <c r="N613" s="161" t="s">
        <v>67</v>
      </c>
      <c r="O613" s="21" t="s">
        <v>68</v>
      </c>
      <c r="P613" s="161" t="s">
        <v>109</v>
      </c>
      <c r="Q613" s="21" t="s">
        <v>2288</v>
      </c>
      <c r="R613" s="161">
        <v>70</v>
      </c>
      <c r="S613" s="161" t="s">
        <v>197</v>
      </c>
      <c r="T613" s="161" t="s">
        <v>390</v>
      </c>
      <c r="U613" s="161" t="s">
        <v>73</v>
      </c>
      <c r="V613" s="21" t="s">
        <v>74</v>
      </c>
      <c r="W613" s="21" t="s">
        <v>112</v>
      </c>
      <c r="X613" s="161" t="s">
        <v>156</v>
      </c>
      <c r="Y613" s="161">
        <v>0.01</v>
      </c>
      <c r="Z613" s="161">
        <v>2.2000000000000002</v>
      </c>
      <c r="AA613" s="161" t="s">
        <v>77</v>
      </c>
      <c r="AB613" s="161" t="s">
        <v>391</v>
      </c>
      <c r="AC613" s="266" t="str">
        <f>HYPERLINK("https://gcsvt.ru/svetodiodnyie-svetilniki/svt-str-mpro-max-81w-45x140/","Ссылка")</f>
        <v>Ссылка</v>
      </c>
      <c r="AD613" s="167">
        <v>11401</v>
      </c>
    </row>
    <row r="614" spans="1:30" s="161" customFormat="1" ht="39.950000000000003" hidden="1" customHeight="1" outlineLevel="2" x14ac:dyDescent="0.25">
      <c r="A614" s="171"/>
      <c r="B614" s="21" t="s">
        <v>386</v>
      </c>
      <c r="C614" s="159" t="s">
        <v>420</v>
      </c>
      <c r="D614" s="161">
        <v>11710</v>
      </c>
      <c r="E614" s="161">
        <v>81</v>
      </c>
      <c r="F614" s="161">
        <v>144</v>
      </c>
      <c r="G614" s="161" t="s">
        <v>421</v>
      </c>
      <c r="H614" s="161" t="s">
        <v>63</v>
      </c>
      <c r="I614" s="161">
        <v>67</v>
      </c>
      <c r="J614" s="161" t="s">
        <v>3904</v>
      </c>
      <c r="K614" s="21" t="s">
        <v>106</v>
      </c>
      <c r="L614" s="161" t="s">
        <v>3380</v>
      </c>
      <c r="M614" s="21" t="s">
        <v>157</v>
      </c>
      <c r="N614" s="161" t="s">
        <v>67</v>
      </c>
      <c r="O614" s="21" t="s">
        <v>68</v>
      </c>
      <c r="P614" s="161" t="s">
        <v>109</v>
      </c>
      <c r="Q614" s="21" t="s">
        <v>2288</v>
      </c>
      <c r="R614" s="161">
        <v>70</v>
      </c>
      <c r="S614" s="161" t="s">
        <v>197</v>
      </c>
      <c r="T614" s="161" t="s">
        <v>390</v>
      </c>
      <c r="U614" s="161" t="s">
        <v>73</v>
      </c>
      <c r="V614" s="21" t="s">
        <v>74</v>
      </c>
      <c r="W614" s="21" t="s">
        <v>160</v>
      </c>
      <c r="X614" s="161" t="s">
        <v>170</v>
      </c>
      <c r="Y614" s="161">
        <v>0.01</v>
      </c>
      <c r="Z614" s="161">
        <v>2.2000000000000002</v>
      </c>
      <c r="AA614" s="161" t="s">
        <v>77</v>
      </c>
      <c r="AB614" s="161" t="s">
        <v>391</v>
      </c>
      <c r="AC614" s="266" t="str">
        <f>HYPERLINK("https://gcsvt.ru/svetodiodnyie-svetilniki/svt-str-mpro-max-81w-45x140-c/","Ссылка")</f>
        <v>Ссылка</v>
      </c>
      <c r="AD614" s="167">
        <v>11401</v>
      </c>
    </row>
    <row r="615" spans="1:30" s="161" customFormat="1" ht="39.950000000000003" hidden="1" customHeight="1" outlineLevel="2" x14ac:dyDescent="0.25">
      <c r="A615" s="171"/>
      <c r="B615" s="21" t="s">
        <v>386</v>
      </c>
      <c r="C615" s="159" t="s">
        <v>422</v>
      </c>
      <c r="D615" s="161">
        <v>17530</v>
      </c>
      <c r="E615" s="161">
        <v>119</v>
      </c>
      <c r="F615" s="161">
        <v>147</v>
      </c>
      <c r="G615" s="161" t="s">
        <v>423</v>
      </c>
      <c r="H615" s="161" t="s">
        <v>177</v>
      </c>
      <c r="I615" s="161">
        <v>67</v>
      </c>
      <c r="J615" s="161" t="s">
        <v>105</v>
      </c>
      <c r="K615" s="21" t="s">
        <v>106</v>
      </c>
      <c r="L615" s="161" t="s">
        <v>3380</v>
      </c>
      <c r="M615" s="21" t="s">
        <v>235</v>
      </c>
      <c r="N615" s="161" t="s">
        <v>67</v>
      </c>
      <c r="O615" s="21" t="s">
        <v>68</v>
      </c>
      <c r="P615" s="161" t="s">
        <v>109</v>
      </c>
      <c r="Q615" s="21" t="s">
        <v>2288</v>
      </c>
      <c r="R615" s="161">
        <v>70</v>
      </c>
      <c r="S615" s="161" t="s">
        <v>216</v>
      </c>
      <c r="T615" s="161" t="s">
        <v>390</v>
      </c>
      <c r="U615" s="161" t="s">
        <v>73</v>
      </c>
      <c r="V615" s="21" t="s">
        <v>74</v>
      </c>
      <c r="W615" s="21" t="s">
        <v>112</v>
      </c>
      <c r="X615" s="161" t="s">
        <v>424</v>
      </c>
      <c r="Y615" s="161">
        <v>0.01</v>
      </c>
      <c r="Z615" s="161">
        <v>2.8</v>
      </c>
      <c r="AA615" s="161" t="s">
        <v>77</v>
      </c>
      <c r="AB615" s="161" t="s">
        <v>391</v>
      </c>
      <c r="AC615" s="266" t="str">
        <f>HYPERLINK("https://gcsvt.ru/svetodiodnyie-svetilniki/svt-str-mpro-max-119w-20/","Ссылка")</f>
        <v>Ссылка</v>
      </c>
      <c r="AD615" s="167">
        <v>14228</v>
      </c>
    </row>
    <row r="616" spans="1:30" s="161" customFormat="1" ht="39.950000000000003" hidden="1" customHeight="1" outlineLevel="2" x14ac:dyDescent="0.25">
      <c r="A616" s="171"/>
      <c r="B616" s="21" t="s">
        <v>386</v>
      </c>
      <c r="C616" s="159" t="s">
        <v>425</v>
      </c>
      <c r="D616" s="161">
        <v>17530</v>
      </c>
      <c r="E616" s="161">
        <v>119</v>
      </c>
      <c r="F616" s="161">
        <v>147</v>
      </c>
      <c r="G616" s="161" t="s">
        <v>426</v>
      </c>
      <c r="H616" s="161" t="s">
        <v>180</v>
      </c>
      <c r="I616" s="161">
        <v>67</v>
      </c>
      <c r="J616" s="161" t="s">
        <v>3904</v>
      </c>
      <c r="K616" s="21" t="s">
        <v>106</v>
      </c>
      <c r="L616" s="161" t="s">
        <v>3380</v>
      </c>
      <c r="M616" s="21" t="s">
        <v>235</v>
      </c>
      <c r="N616" s="161" t="s">
        <v>67</v>
      </c>
      <c r="O616" s="21" t="s">
        <v>68</v>
      </c>
      <c r="P616" s="161" t="s">
        <v>109</v>
      </c>
      <c r="Q616" s="21" t="s">
        <v>2288</v>
      </c>
      <c r="R616" s="161">
        <v>70</v>
      </c>
      <c r="S616" s="161" t="s">
        <v>216</v>
      </c>
      <c r="T616" s="161" t="s">
        <v>390</v>
      </c>
      <c r="U616" s="161" t="s">
        <v>73</v>
      </c>
      <c r="V616" s="21" t="s">
        <v>74</v>
      </c>
      <c r="W616" s="21" t="s">
        <v>112</v>
      </c>
      <c r="X616" s="161" t="s">
        <v>424</v>
      </c>
      <c r="Y616" s="161">
        <v>0.01</v>
      </c>
      <c r="Z616" s="161">
        <v>2.8</v>
      </c>
      <c r="AA616" s="161" t="s">
        <v>77</v>
      </c>
      <c r="AB616" s="161" t="s">
        <v>391</v>
      </c>
      <c r="AC616" s="266" t="str">
        <f>HYPERLINK("https://gcsvt.ru/svetodiodnyie-svetilniki/svt-str-mpro-max-119w-35/","Ссылка")</f>
        <v>Ссылка</v>
      </c>
      <c r="AD616" s="167">
        <v>14228</v>
      </c>
    </row>
    <row r="617" spans="1:30" s="161" customFormat="1" ht="39.950000000000003" hidden="1" customHeight="1" outlineLevel="2" x14ac:dyDescent="0.25">
      <c r="A617" s="171"/>
      <c r="B617" s="21" t="s">
        <v>386</v>
      </c>
      <c r="C617" s="159" t="s">
        <v>427</v>
      </c>
      <c r="D617" s="161">
        <v>17530</v>
      </c>
      <c r="E617" s="161">
        <v>119</v>
      </c>
      <c r="F617" s="161">
        <v>147</v>
      </c>
      <c r="G617" s="161" t="s">
        <v>428</v>
      </c>
      <c r="H617" s="161" t="s">
        <v>183</v>
      </c>
      <c r="I617" s="161">
        <v>67</v>
      </c>
      <c r="J617" s="161" t="s">
        <v>105</v>
      </c>
      <c r="K617" s="21" t="s">
        <v>106</v>
      </c>
      <c r="L617" s="161" t="s">
        <v>3380</v>
      </c>
      <c r="M617" s="21" t="s">
        <v>235</v>
      </c>
      <c r="N617" s="161" t="s">
        <v>67</v>
      </c>
      <c r="O617" s="21" t="s">
        <v>68</v>
      </c>
      <c r="P617" s="161" t="s">
        <v>109</v>
      </c>
      <c r="Q617" s="21" t="s">
        <v>2288</v>
      </c>
      <c r="R617" s="161">
        <v>70</v>
      </c>
      <c r="S617" s="161" t="s">
        <v>216</v>
      </c>
      <c r="T617" s="161" t="s">
        <v>390</v>
      </c>
      <c r="U617" s="161" t="s">
        <v>73</v>
      </c>
      <c r="V617" s="21" t="s">
        <v>74</v>
      </c>
      <c r="W617" s="21" t="s">
        <v>112</v>
      </c>
      <c r="X617" s="161" t="s">
        <v>424</v>
      </c>
      <c r="Y617" s="161">
        <v>0.01</v>
      </c>
      <c r="Z617" s="161">
        <v>2.8</v>
      </c>
      <c r="AA617" s="161" t="s">
        <v>77</v>
      </c>
      <c r="AB617" s="161" t="s">
        <v>391</v>
      </c>
      <c r="AC617" s="266" t="str">
        <f>HYPERLINK("https://gcsvt.ru/svetodiodnyie-svetilniki/svt-str-mpro-max-119w-65/","Ссылка")</f>
        <v>Ссылка</v>
      </c>
      <c r="AD617" s="167">
        <v>14228</v>
      </c>
    </row>
    <row r="618" spans="1:30" s="161" customFormat="1" ht="39.950000000000003" hidden="1" customHeight="1" outlineLevel="2" x14ac:dyDescent="0.25">
      <c r="A618" s="171"/>
      <c r="B618" s="21" t="s">
        <v>386</v>
      </c>
      <c r="C618" s="159" t="s">
        <v>429</v>
      </c>
      <c r="D618" s="161">
        <v>17530</v>
      </c>
      <c r="E618" s="161">
        <v>119</v>
      </c>
      <c r="F618" s="161">
        <v>147</v>
      </c>
      <c r="G618" s="161" t="s">
        <v>430</v>
      </c>
      <c r="H618" s="161" t="s">
        <v>186</v>
      </c>
      <c r="I618" s="161">
        <v>67</v>
      </c>
      <c r="J618" s="161" t="s">
        <v>3904</v>
      </c>
      <c r="K618" s="21" t="s">
        <v>106</v>
      </c>
      <c r="L618" s="161" t="s">
        <v>3380</v>
      </c>
      <c r="M618" s="21" t="s">
        <v>235</v>
      </c>
      <c r="N618" s="161" t="s">
        <v>67</v>
      </c>
      <c r="O618" s="21" t="s">
        <v>68</v>
      </c>
      <c r="P618" s="161" t="s">
        <v>109</v>
      </c>
      <c r="Q618" s="21" t="s">
        <v>2288</v>
      </c>
      <c r="R618" s="161">
        <v>70</v>
      </c>
      <c r="S618" s="161" t="s">
        <v>216</v>
      </c>
      <c r="T618" s="161" t="s">
        <v>390</v>
      </c>
      <c r="U618" s="161" t="s">
        <v>73</v>
      </c>
      <c r="V618" s="21" t="s">
        <v>74</v>
      </c>
      <c r="W618" s="21" t="s">
        <v>112</v>
      </c>
      <c r="X618" s="161" t="s">
        <v>424</v>
      </c>
      <c r="Y618" s="161">
        <v>0.01</v>
      </c>
      <c r="Z618" s="161">
        <v>2.8</v>
      </c>
      <c r="AA618" s="161" t="s">
        <v>77</v>
      </c>
      <c r="AB618" s="161" t="s">
        <v>391</v>
      </c>
      <c r="AC618" s="266" t="str">
        <f>HYPERLINK("https://gcsvt.ru/svetodiodnyie-svetilniki/svt-str-mpro-max-119w-100/","Ссылка")</f>
        <v>Ссылка</v>
      </c>
      <c r="AD618" s="167">
        <v>14228</v>
      </c>
    </row>
    <row r="619" spans="1:30" s="161" customFormat="1" ht="39.950000000000003" hidden="1" customHeight="1" outlineLevel="2" x14ac:dyDescent="0.25">
      <c r="A619" s="171"/>
      <c r="B619" s="21" t="s">
        <v>386</v>
      </c>
      <c r="C619" s="159" t="s">
        <v>431</v>
      </c>
      <c r="D619" s="161">
        <v>17530</v>
      </c>
      <c r="E619" s="161">
        <v>119</v>
      </c>
      <c r="F619" s="161">
        <v>147</v>
      </c>
      <c r="G619" s="161" t="s">
        <v>432</v>
      </c>
      <c r="H619" s="161" t="s">
        <v>189</v>
      </c>
      <c r="I619" s="161">
        <v>67</v>
      </c>
      <c r="J619" s="161" t="s">
        <v>105</v>
      </c>
      <c r="K619" s="21" t="s">
        <v>106</v>
      </c>
      <c r="L619" s="161" t="s">
        <v>3380</v>
      </c>
      <c r="M619" s="21" t="s">
        <v>235</v>
      </c>
      <c r="N619" s="161" t="s">
        <v>67</v>
      </c>
      <c r="O619" s="21" t="s">
        <v>68</v>
      </c>
      <c r="P619" s="161" t="s">
        <v>109</v>
      </c>
      <c r="Q619" s="21" t="s">
        <v>2288</v>
      </c>
      <c r="R619" s="161">
        <v>70</v>
      </c>
      <c r="S619" s="161" t="s">
        <v>216</v>
      </c>
      <c r="T619" s="161" t="s">
        <v>390</v>
      </c>
      <c r="U619" s="161" t="s">
        <v>73</v>
      </c>
      <c r="V619" s="21" t="s">
        <v>74</v>
      </c>
      <c r="W619" s="21" t="s">
        <v>112</v>
      </c>
      <c r="X619" s="161" t="s">
        <v>424</v>
      </c>
      <c r="Y619" s="161">
        <v>0.01</v>
      </c>
      <c r="Z619" s="161">
        <v>2.8</v>
      </c>
      <c r="AA619" s="161" t="s">
        <v>77</v>
      </c>
      <c r="AB619" s="161" t="s">
        <v>391</v>
      </c>
      <c r="AC619" s="266" t="str">
        <f>HYPERLINK("https://gcsvt.ru/svetodiodnyie-svetilniki/svt-str-mpro-max-119w-30x120/","Ссылка")</f>
        <v>Ссылка</v>
      </c>
      <c r="AD619" s="167">
        <v>14228</v>
      </c>
    </row>
    <row r="620" spans="1:30" s="161" customFormat="1" ht="39.950000000000003" hidden="1" customHeight="1" outlineLevel="2" x14ac:dyDescent="0.25">
      <c r="A620" s="171"/>
      <c r="B620" s="21" t="s">
        <v>386</v>
      </c>
      <c r="C620" s="159" t="s">
        <v>433</v>
      </c>
      <c r="D620" s="161">
        <v>17530</v>
      </c>
      <c r="E620" s="161">
        <v>119</v>
      </c>
      <c r="F620" s="161">
        <v>147</v>
      </c>
      <c r="G620" s="161" t="s">
        <v>434</v>
      </c>
      <c r="H620" s="161" t="s">
        <v>192</v>
      </c>
      <c r="I620" s="161">
        <v>67</v>
      </c>
      <c r="J620" s="161" t="s">
        <v>3904</v>
      </c>
      <c r="K620" s="21" t="s">
        <v>106</v>
      </c>
      <c r="L620" s="161" t="s">
        <v>3380</v>
      </c>
      <c r="M620" s="21" t="s">
        <v>235</v>
      </c>
      <c r="N620" s="161" t="s">
        <v>67</v>
      </c>
      <c r="O620" s="21" t="s">
        <v>68</v>
      </c>
      <c r="P620" s="161" t="s">
        <v>109</v>
      </c>
      <c r="Q620" s="21" t="s">
        <v>2288</v>
      </c>
      <c r="R620" s="161">
        <v>70</v>
      </c>
      <c r="S620" s="161" t="s">
        <v>216</v>
      </c>
      <c r="T620" s="161" t="s">
        <v>390</v>
      </c>
      <c r="U620" s="161" t="s">
        <v>73</v>
      </c>
      <c r="V620" s="21" t="s">
        <v>74</v>
      </c>
      <c r="W620" s="21" t="s">
        <v>112</v>
      </c>
      <c r="X620" s="161" t="s">
        <v>424</v>
      </c>
      <c r="Y620" s="161">
        <v>0.01</v>
      </c>
      <c r="Z620" s="161">
        <v>2.8</v>
      </c>
      <c r="AA620" s="161" t="s">
        <v>77</v>
      </c>
      <c r="AB620" s="161" t="s">
        <v>391</v>
      </c>
      <c r="AC620" s="266" t="str">
        <f>HYPERLINK("https://gcsvt.ru/svetodiodnyie-svetilniki/svt-str-mpro-max-119w-vsm/","Ссылка")</f>
        <v>Ссылка</v>
      </c>
      <c r="AD620" s="167">
        <v>14228</v>
      </c>
    </row>
    <row r="621" spans="1:30" s="161" customFormat="1" ht="39.950000000000003" hidden="1" customHeight="1" outlineLevel="2" x14ac:dyDescent="0.25">
      <c r="A621" s="171"/>
      <c r="B621" s="21" t="s">
        <v>386</v>
      </c>
      <c r="C621" s="159" t="s">
        <v>435</v>
      </c>
      <c r="D621" s="161">
        <v>17530</v>
      </c>
      <c r="E621" s="161">
        <v>119</v>
      </c>
      <c r="F621" s="161">
        <v>147</v>
      </c>
      <c r="G621" s="161" t="s">
        <v>436</v>
      </c>
      <c r="H621" s="161" t="s">
        <v>63</v>
      </c>
      <c r="I621" s="161">
        <v>67</v>
      </c>
      <c r="J621" s="161" t="s">
        <v>105</v>
      </c>
      <c r="K621" s="21" t="s">
        <v>106</v>
      </c>
      <c r="L621" s="161" t="s">
        <v>3380</v>
      </c>
      <c r="M621" s="21" t="s">
        <v>235</v>
      </c>
      <c r="N621" s="161" t="s">
        <v>67</v>
      </c>
      <c r="O621" s="21" t="s">
        <v>68</v>
      </c>
      <c r="P621" s="161" t="s">
        <v>109</v>
      </c>
      <c r="Q621" s="21" t="s">
        <v>2288</v>
      </c>
      <c r="R621" s="161">
        <v>70</v>
      </c>
      <c r="S621" s="161" t="s">
        <v>216</v>
      </c>
      <c r="T621" s="161" t="s">
        <v>390</v>
      </c>
      <c r="U621" s="161" t="s">
        <v>73</v>
      </c>
      <c r="V621" s="21" t="s">
        <v>74</v>
      </c>
      <c r="W621" s="21" t="s">
        <v>112</v>
      </c>
      <c r="X621" s="161" t="s">
        <v>424</v>
      </c>
      <c r="Y621" s="161">
        <v>0.01</v>
      </c>
      <c r="Z621" s="161">
        <v>2.8</v>
      </c>
      <c r="AA621" s="161" t="s">
        <v>77</v>
      </c>
      <c r="AB621" s="161" t="s">
        <v>391</v>
      </c>
      <c r="AC621" s="266" t="str">
        <f>HYPERLINK("https://gcsvt.ru/svetodiodnyie-svetilniki/svt-str-mpro-max-119w-45x140/","Ссылка")</f>
        <v>Ссылка</v>
      </c>
      <c r="AD621" s="167">
        <v>14228</v>
      </c>
    </row>
    <row r="622" spans="1:30" s="161" customFormat="1" ht="39.950000000000003" hidden="1" customHeight="1" outlineLevel="2" x14ac:dyDescent="0.25">
      <c r="A622" s="171"/>
      <c r="B622" s="21" t="s">
        <v>386</v>
      </c>
      <c r="C622" s="159" t="s">
        <v>437</v>
      </c>
      <c r="D622" s="161">
        <v>17530</v>
      </c>
      <c r="E622" s="161">
        <v>119</v>
      </c>
      <c r="F622" s="161">
        <v>147</v>
      </c>
      <c r="G622" s="161" t="s">
        <v>438</v>
      </c>
      <c r="H622" s="161" t="s">
        <v>63</v>
      </c>
      <c r="I622" s="161">
        <v>67</v>
      </c>
      <c r="J622" s="161" t="s">
        <v>3904</v>
      </c>
      <c r="K622" s="21" t="s">
        <v>106</v>
      </c>
      <c r="L622" s="161" t="s">
        <v>3380</v>
      </c>
      <c r="M622" s="21" t="s">
        <v>235</v>
      </c>
      <c r="N622" s="161" t="s">
        <v>67</v>
      </c>
      <c r="O622" s="21" t="s">
        <v>68</v>
      </c>
      <c r="P622" s="161" t="s">
        <v>109</v>
      </c>
      <c r="Q622" s="21" t="s">
        <v>2288</v>
      </c>
      <c r="R622" s="161">
        <v>70</v>
      </c>
      <c r="S622" s="161" t="s">
        <v>216</v>
      </c>
      <c r="T622" s="161" t="s">
        <v>390</v>
      </c>
      <c r="U622" s="161" t="s">
        <v>73</v>
      </c>
      <c r="V622" s="21" t="s">
        <v>74</v>
      </c>
      <c r="W622" s="21" t="s">
        <v>160</v>
      </c>
      <c r="X622" s="161" t="s">
        <v>439</v>
      </c>
      <c r="Y622" s="161">
        <v>0.01</v>
      </c>
      <c r="Z622" s="161">
        <v>2.8</v>
      </c>
      <c r="AA622" s="161" t="s">
        <v>77</v>
      </c>
      <c r="AB622" s="161" t="s">
        <v>391</v>
      </c>
      <c r="AC622" s="266" t="str">
        <f>HYPERLINK("https://gcsvt.ru/svetodiodnyie-svetilniki/svt-str-mpro-max-119w-45x140-c/","Ссылка")</f>
        <v>Ссылка</v>
      </c>
      <c r="AD622" s="167">
        <v>14228</v>
      </c>
    </row>
    <row r="623" spans="1:30" s="161" customFormat="1" ht="39.950000000000003" hidden="1" customHeight="1" outlineLevel="2" x14ac:dyDescent="0.25">
      <c r="A623" s="171"/>
      <c r="B623" s="21" t="s">
        <v>386</v>
      </c>
      <c r="C623" s="159" t="s">
        <v>440</v>
      </c>
      <c r="D623" s="161">
        <v>23390</v>
      </c>
      <c r="E623" s="161">
        <v>155</v>
      </c>
      <c r="F623" s="161">
        <v>150</v>
      </c>
      <c r="G623" s="161" t="s">
        <v>441</v>
      </c>
      <c r="H623" s="161" t="s">
        <v>177</v>
      </c>
      <c r="I623" s="161">
        <v>67</v>
      </c>
      <c r="J623" s="161" t="s">
        <v>105</v>
      </c>
      <c r="K623" s="21" t="s">
        <v>106</v>
      </c>
      <c r="L623" s="161" t="s">
        <v>3380</v>
      </c>
      <c r="M623" s="21" t="s">
        <v>235</v>
      </c>
      <c r="N623" s="161" t="s">
        <v>67</v>
      </c>
      <c r="O623" s="21" t="s">
        <v>68</v>
      </c>
      <c r="P623" s="161" t="s">
        <v>109</v>
      </c>
      <c r="Q623" s="21" t="s">
        <v>2288</v>
      </c>
      <c r="R623" s="161">
        <v>70</v>
      </c>
      <c r="S623" s="161" t="s">
        <v>236</v>
      </c>
      <c r="T623" s="161" t="s">
        <v>390</v>
      </c>
      <c r="U623" s="161" t="s">
        <v>73</v>
      </c>
      <c r="V623" s="21" t="s">
        <v>74</v>
      </c>
      <c r="W623" s="21" t="s">
        <v>112</v>
      </c>
      <c r="X623" s="161" t="s">
        <v>442</v>
      </c>
      <c r="Y623" s="161">
        <v>0.01</v>
      </c>
      <c r="Z623" s="161">
        <v>3.5</v>
      </c>
      <c r="AA623" s="161" t="s">
        <v>77</v>
      </c>
      <c r="AB623" s="161" t="s">
        <v>391</v>
      </c>
      <c r="AC623" s="266" t="str">
        <f>HYPERLINK("https://gcsvt.ru/svetodiodnyie-svetilniki/svt-str-mpro-max-155w-20/","Ссылка")</f>
        <v>Ссылка</v>
      </c>
      <c r="AD623" s="167">
        <v>17728</v>
      </c>
    </row>
    <row r="624" spans="1:30" s="161" customFormat="1" ht="39.950000000000003" hidden="1" customHeight="1" outlineLevel="2" x14ac:dyDescent="0.25">
      <c r="A624" s="171"/>
      <c r="B624" s="21" t="s">
        <v>386</v>
      </c>
      <c r="C624" s="159" t="s">
        <v>443</v>
      </c>
      <c r="D624" s="161">
        <v>23390</v>
      </c>
      <c r="E624" s="161">
        <v>155</v>
      </c>
      <c r="F624" s="161">
        <v>150</v>
      </c>
      <c r="G624" s="161" t="s">
        <v>444</v>
      </c>
      <c r="H624" s="161" t="s">
        <v>180</v>
      </c>
      <c r="I624" s="161">
        <v>67</v>
      </c>
      <c r="J624" s="161" t="s">
        <v>3904</v>
      </c>
      <c r="K624" s="21" t="s">
        <v>106</v>
      </c>
      <c r="L624" s="161" t="s">
        <v>3380</v>
      </c>
      <c r="M624" s="21" t="s">
        <v>235</v>
      </c>
      <c r="N624" s="161" t="s">
        <v>67</v>
      </c>
      <c r="O624" s="21" t="s">
        <v>68</v>
      </c>
      <c r="P624" s="161" t="s">
        <v>109</v>
      </c>
      <c r="Q624" s="21" t="s">
        <v>2288</v>
      </c>
      <c r="R624" s="161">
        <v>70</v>
      </c>
      <c r="S624" s="161" t="s">
        <v>236</v>
      </c>
      <c r="T624" s="161" t="s">
        <v>390</v>
      </c>
      <c r="U624" s="161" t="s">
        <v>73</v>
      </c>
      <c r="V624" s="21" t="s">
        <v>74</v>
      </c>
      <c r="W624" s="21" t="s">
        <v>112</v>
      </c>
      <c r="X624" s="161" t="s">
        <v>442</v>
      </c>
      <c r="Y624" s="161">
        <v>0.01</v>
      </c>
      <c r="Z624" s="161">
        <v>3.5</v>
      </c>
      <c r="AA624" s="161" t="s">
        <v>77</v>
      </c>
      <c r="AB624" s="161" t="s">
        <v>391</v>
      </c>
      <c r="AC624" s="266" t="str">
        <f>HYPERLINK("https://gcsvt.ru/svetodiodnyie-svetilniki/svt-str-mpro-max-155w-35/","Ссылка")</f>
        <v>Ссылка</v>
      </c>
      <c r="AD624" s="167">
        <v>17728</v>
      </c>
    </row>
    <row r="625" spans="1:30" s="161" customFormat="1" ht="39.950000000000003" hidden="1" customHeight="1" outlineLevel="2" x14ac:dyDescent="0.25">
      <c r="A625" s="171"/>
      <c r="B625" s="21" t="s">
        <v>386</v>
      </c>
      <c r="C625" s="159" t="s">
        <v>445</v>
      </c>
      <c r="D625" s="161">
        <v>23390</v>
      </c>
      <c r="E625" s="161">
        <v>155</v>
      </c>
      <c r="F625" s="161">
        <v>150</v>
      </c>
      <c r="G625" s="161" t="s">
        <v>446</v>
      </c>
      <c r="H625" s="161" t="s">
        <v>183</v>
      </c>
      <c r="I625" s="161">
        <v>67</v>
      </c>
      <c r="J625" s="161" t="s">
        <v>105</v>
      </c>
      <c r="K625" s="21" t="s">
        <v>106</v>
      </c>
      <c r="L625" s="161" t="s">
        <v>3380</v>
      </c>
      <c r="M625" s="21" t="s">
        <v>235</v>
      </c>
      <c r="N625" s="161" t="s">
        <v>67</v>
      </c>
      <c r="O625" s="21" t="s">
        <v>68</v>
      </c>
      <c r="P625" s="161" t="s">
        <v>109</v>
      </c>
      <c r="Q625" s="21" t="s">
        <v>2288</v>
      </c>
      <c r="R625" s="161">
        <v>70</v>
      </c>
      <c r="S625" s="161" t="s">
        <v>236</v>
      </c>
      <c r="T625" s="161" t="s">
        <v>390</v>
      </c>
      <c r="U625" s="161" t="s">
        <v>73</v>
      </c>
      <c r="V625" s="21" t="s">
        <v>74</v>
      </c>
      <c r="W625" s="21" t="s">
        <v>112</v>
      </c>
      <c r="X625" s="161" t="s">
        <v>442</v>
      </c>
      <c r="Y625" s="161">
        <v>0.01</v>
      </c>
      <c r="Z625" s="161">
        <v>3.5</v>
      </c>
      <c r="AA625" s="161" t="s">
        <v>77</v>
      </c>
      <c r="AB625" s="161" t="s">
        <v>391</v>
      </c>
      <c r="AC625" s="266" t="str">
        <f>HYPERLINK("https://gcsvt.ru/svetodiodnyie-svetilniki/svt-str-mpro-max-155w-65/","Ссылка")</f>
        <v>Ссылка</v>
      </c>
      <c r="AD625" s="167">
        <v>17728</v>
      </c>
    </row>
    <row r="626" spans="1:30" s="161" customFormat="1" ht="39.950000000000003" hidden="1" customHeight="1" outlineLevel="2" x14ac:dyDescent="0.25">
      <c r="A626" s="171"/>
      <c r="B626" s="21" t="s">
        <v>386</v>
      </c>
      <c r="C626" s="159" t="s">
        <v>447</v>
      </c>
      <c r="D626" s="161">
        <v>23390</v>
      </c>
      <c r="E626" s="161">
        <v>155</v>
      </c>
      <c r="F626" s="161">
        <v>150</v>
      </c>
      <c r="G626" s="161" t="s">
        <v>448</v>
      </c>
      <c r="H626" s="161" t="s">
        <v>186</v>
      </c>
      <c r="I626" s="161">
        <v>67</v>
      </c>
      <c r="J626" s="161" t="s">
        <v>3904</v>
      </c>
      <c r="K626" s="21" t="s">
        <v>106</v>
      </c>
      <c r="L626" s="161" t="s">
        <v>3380</v>
      </c>
      <c r="M626" s="21" t="s">
        <v>235</v>
      </c>
      <c r="N626" s="161" t="s">
        <v>67</v>
      </c>
      <c r="O626" s="21" t="s">
        <v>68</v>
      </c>
      <c r="P626" s="161" t="s">
        <v>109</v>
      </c>
      <c r="Q626" s="21" t="s">
        <v>2288</v>
      </c>
      <c r="R626" s="161">
        <v>70</v>
      </c>
      <c r="S626" s="161" t="s">
        <v>236</v>
      </c>
      <c r="T626" s="161" t="s">
        <v>390</v>
      </c>
      <c r="U626" s="161" t="s">
        <v>73</v>
      </c>
      <c r="V626" s="21" t="s">
        <v>74</v>
      </c>
      <c r="W626" s="21" t="s">
        <v>112</v>
      </c>
      <c r="X626" s="161" t="s">
        <v>442</v>
      </c>
      <c r="Y626" s="161">
        <v>0.01</v>
      </c>
      <c r="Z626" s="161">
        <v>3.5</v>
      </c>
      <c r="AA626" s="161" t="s">
        <v>77</v>
      </c>
      <c r="AB626" s="161" t="s">
        <v>391</v>
      </c>
      <c r="AC626" s="266" t="str">
        <f>HYPERLINK("https://gcsvt.ru/svetodiodnyie-svetilniki/svt-str-mpro-max-155w-100/","Ссылка")</f>
        <v>Ссылка</v>
      </c>
      <c r="AD626" s="167">
        <v>17728</v>
      </c>
    </row>
    <row r="627" spans="1:30" s="161" customFormat="1" ht="39.950000000000003" hidden="1" customHeight="1" outlineLevel="2" x14ac:dyDescent="0.25">
      <c r="A627" s="171"/>
      <c r="B627" s="21" t="s">
        <v>386</v>
      </c>
      <c r="C627" s="159" t="s">
        <v>449</v>
      </c>
      <c r="D627" s="161">
        <v>23390</v>
      </c>
      <c r="E627" s="161">
        <v>155</v>
      </c>
      <c r="F627" s="161">
        <v>150</v>
      </c>
      <c r="G627" s="161" t="s">
        <v>450</v>
      </c>
      <c r="H627" s="161" t="s">
        <v>189</v>
      </c>
      <c r="I627" s="161">
        <v>67</v>
      </c>
      <c r="J627" s="161" t="s">
        <v>105</v>
      </c>
      <c r="K627" s="21" t="s">
        <v>106</v>
      </c>
      <c r="L627" s="161" t="s">
        <v>3380</v>
      </c>
      <c r="M627" s="21" t="s">
        <v>235</v>
      </c>
      <c r="N627" s="161" t="s">
        <v>67</v>
      </c>
      <c r="O627" s="21" t="s">
        <v>68</v>
      </c>
      <c r="P627" s="161" t="s">
        <v>109</v>
      </c>
      <c r="Q627" s="21" t="s">
        <v>2288</v>
      </c>
      <c r="R627" s="161">
        <v>70</v>
      </c>
      <c r="S627" s="161" t="s">
        <v>236</v>
      </c>
      <c r="T627" s="161" t="s">
        <v>390</v>
      </c>
      <c r="U627" s="161" t="s">
        <v>73</v>
      </c>
      <c r="V627" s="21" t="s">
        <v>74</v>
      </c>
      <c r="W627" s="21" t="s">
        <v>112</v>
      </c>
      <c r="X627" s="161" t="s">
        <v>442</v>
      </c>
      <c r="Y627" s="161">
        <v>0.01</v>
      </c>
      <c r="Z627" s="161">
        <v>3.5</v>
      </c>
      <c r="AA627" s="161" t="s">
        <v>77</v>
      </c>
      <c r="AB627" s="161" t="s">
        <v>391</v>
      </c>
      <c r="AC627" s="266" t="str">
        <f>HYPERLINK("https://gcsvt.ru/svetodiodnyie-svetilniki/svt-str-mpro-max-155w-30x120/","Ссылка")</f>
        <v>Ссылка</v>
      </c>
      <c r="AD627" s="167">
        <v>17728</v>
      </c>
    </row>
    <row r="628" spans="1:30" s="161" customFormat="1" ht="39.950000000000003" hidden="1" customHeight="1" outlineLevel="2" x14ac:dyDescent="0.25">
      <c r="A628" s="171"/>
      <c r="B628" s="21" t="s">
        <v>386</v>
      </c>
      <c r="C628" s="159" t="s">
        <v>451</v>
      </c>
      <c r="D628" s="161">
        <v>23390</v>
      </c>
      <c r="E628" s="161">
        <v>155</v>
      </c>
      <c r="F628" s="161">
        <v>150</v>
      </c>
      <c r="G628" s="161" t="s">
        <v>452</v>
      </c>
      <c r="H628" s="161" t="s">
        <v>192</v>
      </c>
      <c r="I628" s="161">
        <v>67</v>
      </c>
      <c r="J628" s="161" t="s">
        <v>3904</v>
      </c>
      <c r="K628" s="21" t="s">
        <v>106</v>
      </c>
      <c r="L628" s="161" t="s">
        <v>3380</v>
      </c>
      <c r="M628" s="21" t="s">
        <v>235</v>
      </c>
      <c r="N628" s="161" t="s">
        <v>67</v>
      </c>
      <c r="O628" s="21" t="s">
        <v>68</v>
      </c>
      <c r="P628" s="161" t="s">
        <v>109</v>
      </c>
      <c r="Q628" s="21" t="s">
        <v>2288</v>
      </c>
      <c r="R628" s="161">
        <v>70</v>
      </c>
      <c r="S628" s="161" t="s">
        <v>236</v>
      </c>
      <c r="T628" s="161" t="s">
        <v>390</v>
      </c>
      <c r="U628" s="161" t="s">
        <v>73</v>
      </c>
      <c r="V628" s="21" t="s">
        <v>74</v>
      </c>
      <c r="W628" s="21" t="s">
        <v>112</v>
      </c>
      <c r="X628" s="161" t="s">
        <v>442</v>
      </c>
      <c r="Y628" s="161">
        <v>0.01</v>
      </c>
      <c r="Z628" s="161">
        <v>3.5</v>
      </c>
      <c r="AA628" s="161" t="s">
        <v>77</v>
      </c>
      <c r="AB628" s="161" t="s">
        <v>391</v>
      </c>
      <c r="AC628" s="266" t="str">
        <f>HYPERLINK("https://gcsvt.ru/svetodiodnyie-svetilniki/svt-str-mpro-max-155w-vsm/","Ссылка")</f>
        <v>Ссылка</v>
      </c>
      <c r="AD628" s="167">
        <v>17728</v>
      </c>
    </row>
    <row r="629" spans="1:30" s="161" customFormat="1" ht="39.950000000000003" hidden="1" customHeight="1" outlineLevel="2" x14ac:dyDescent="0.25">
      <c r="A629" s="171"/>
      <c r="B629" s="21" t="s">
        <v>386</v>
      </c>
      <c r="C629" s="159" t="s">
        <v>453</v>
      </c>
      <c r="D629" s="161">
        <v>23390</v>
      </c>
      <c r="E629" s="161">
        <v>155</v>
      </c>
      <c r="F629" s="161">
        <v>150</v>
      </c>
      <c r="G629" s="161" t="s">
        <v>454</v>
      </c>
      <c r="H629" s="161" t="s">
        <v>63</v>
      </c>
      <c r="I629" s="161">
        <v>67</v>
      </c>
      <c r="J629" s="161" t="s">
        <v>105</v>
      </c>
      <c r="K629" s="21" t="s">
        <v>106</v>
      </c>
      <c r="L629" s="161" t="s">
        <v>3380</v>
      </c>
      <c r="M629" s="21" t="s">
        <v>235</v>
      </c>
      <c r="N629" s="161" t="s">
        <v>67</v>
      </c>
      <c r="O629" s="21" t="s">
        <v>68</v>
      </c>
      <c r="P629" s="161" t="s">
        <v>109</v>
      </c>
      <c r="Q629" s="21" t="s">
        <v>2288</v>
      </c>
      <c r="R629" s="161">
        <v>70</v>
      </c>
      <c r="S629" s="161" t="s">
        <v>236</v>
      </c>
      <c r="T629" s="161" t="s">
        <v>390</v>
      </c>
      <c r="U629" s="161" t="s">
        <v>73</v>
      </c>
      <c r="V629" s="21" t="s">
        <v>74</v>
      </c>
      <c r="W629" s="21" t="s">
        <v>112</v>
      </c>
      <c r="X629" s="161" t="s">
        <v>442</v>
      </c>
      <c r="Y629" s="161">
        <v>0.01</v>
      </c>
      <c r="Z629" s="161">
        <v>3.5</v>
      </c>
      <c r="AA629" s="161" t="s">
        <v>77</v>
      </c>
      <c r="AB629" s="161" t="s">
        <v>391</v>
      </c>
      <c r="AC629" s="266" t="str">
        <f>HYPERLINK("https://gcsvt.ru/svetodiodnyie-svetilniki/svt-str-mpro-max-155w-45x140/","Ссылка")</f>
        <v>Ссылка</v>
      </c>
      <c r="AD629" s="167">
        <v>17728</v>
      </c>
    </row>
    <row r="630" spans="1:30" s="161" customFormat="1" ht="39.950000000000003" hidden="1" customHeight="1" outlineLevel="2" x14ac:dyDescent="0.25">
      <c r="A630" s="171"/>
      <c r="B630" s="21" t="s">
        <v>386</v>
      </c>
      <c r="C630" s="159" t="s">
        <v>455</v>
      </c>
      <c r="D630" s="161">
        <v>23390</v>
      </c>
      <c r="E630" s="161">
        <v>155</v>
      </c>
      <c r="F630" s="161">
        <v>150</v>
      </c>
      <c r="G630" s="161" t="s">
        <v>456</v>
      </c>
      <c r="H630" s="161" t="s">
        <v>63</v>
      </c>
      <c r="I630" s="161">
        <v>67</v>
      </c>
      <c r="J630" s="161" t="s">
        <v>3904</v>
      </c>
      <c r="K630" s="21" t="s">
        <v>106</v>
      </c>
      <c r="L630" s="161" t="s">
        <v>3380</v>
      </c>
      <c r="M630" s="21" t="s">
        <v>235</v>
      </c>
      <c r="N630" s="161" t="s">
        <v>67</v>
      </c>
      <c r="O630" s="21" t="s">
        <v>68</v>
      </c>
      <c r="P630" s="161" t="s">
        <v>109</v>
      </c>
      <c r="Q630" s="21" t="s">
        <v>2288</v>
      </c>
      <c r="R630" s="161">
        <v>70</v>
      </c>
      <c r="S630" s="161" t="s">
        <v>236</v>
      </c>
      <c r="T630" s="161" t="s">
        <v>390</v>
      </c>
      <c r="U630" s="161" t="s">
        <v>73</v>
      </c>
      <c r="V630" s="21" t="s">
        <v>74</v>
      </c>
      <c r="W630" s="21" t="s">
        <v>160</v>
      </c>
      <c r="X630" s="161" t="s">
        <v>457</v>
      </c>
      <c r="Y630" s="161">
        <v>0.01</v>
      </c>
      <c r="Z630" s="161">
        <v>3.5</v>
      </c>
      <c r="AA630" s="161" t="s">
        <v>77</v>
      </c>
      <c r="AB630" s="161" t="s">
        <v>391</v>
      </c>
      <c r="AC630" s="266" t="str">
        <f>HYPERLINK("https://gcsvt.ru/svetodiodnyie-svetilniki/svt-str-mpro-max-155w-45x140-c/","Ссылка")</f>
        <v>Ссылка</v>
      </c>
      <c r="AD630" s="167">
        <v>17728</v>
      </c>
    </row>
    <row r="631" spans="1:30" s="161" customFormat="1" ht="39.950000000000003" hidden="1" customHeight="1" outlineLevel="2" x14ac:dyDescent="0.25">
      <c r="A631" s="171"/>
      <c r="B631" s="21" t="s">
        <v>386</v>
      </c>
      <c r="C631" s="159" t="s">
        <v>2979</v>
      </c>
      <c r="D631" s="161">
        <v>23328</v>
      </c>
      <c r="E631" s="161">
        <v>162</v>
      </c>
      <c r="F631" s="161">
        <v>144</v>
      </c>
      <c r="G631" s="161" t="s">
        <v>3030</v>
      </c>
      <c r="H631" s="161" t="s">
        <v>177</v>
      </c>
      <c r="I631" s="161">
        <v>67</v>
      </c>
      <c r="J631" s="161" t="s">
        <v>105</v>
      </c>
      <c r="K631" s="21" t="s">
        <v>106</v>
      </c>
      <c r="L631" s="161" t="s">
        <v>3380</v>
      </c>
      <c r="M631" s="21" t="s">
        <v>235</v>
      </c>
      <c r="N631" s="161" t="s">
        <v>67</v>
      </c>
      <c r="O631" s="21" t="s">
        <v>68</v>
      </c>
      <c r="P631" s="161" t="s">
        <v>109</v>
      </c>
      <c r="Q631" s="21" t="s">
        <v>2288</v>
      </c>
      <c r="R631" s="161">
        <v>70</v>
      </c>
      <c r="S631" s="161" t="s">
        <v>236</v>
      </c>
      <c r="T631" s="161" t="s">
        <v>390</v>
      </c>
      <c r="U631" s="161" t="s">
        <v>73</v>
      </c>
      <c r="V631" s="21" t="s">
        <v>74</v>
      </c>
      <c r="W631" s="21" t="s">
        <v>112</v>
      </c>
      <c r="X631" s="161" t="s">
        <v>270</v>
      </c>
      <c r="Y631" s="161">
        <v>0.01</v>
      </c>
      <c r="Z631" s="161">
        <v>4.4000000000000004</v>
      </c>
      <c r="AA631" s="161" t="s">
        <v>77</v>
      </c>
      <c r="AB631" s="161" t="s">
        <v>391</v>
      </c>
      <c r="AC631" s="266" t="str">
        <f>HYPERLINK("https://gcsvt.ru/svetodiodnyie-svetilniki/svt-str-mpro-max-81w-20-duo/","Ссылка")</f>
        <v>Ссылка</v>
      </c>
      <c r="AD631" s="167">
        <v>22801</v>
      </c>
    </row>
    <row r="632" spans="1:30" s="161" customFormat="1" ht="39.950000000000003" hidden="1" customHeight="1" outlineLevel="2" x14ac:dyDescent="0.25">
      <c r="A632" s="171"/>
      <c r="B632" s="21" t="s">
        <v>386</v>
      </c>
      <c r="C632" s="159" t="s">
        <v>2980</v>
      </c>
      <c r="D632" s="161">
        <v>23328</v>
      </c>
      <c r="E632" s="161">
        <v>162</v>
      </c>
      <c r="F632" s="161">
        <v>144</v>
      </c>
      <c r="G632" s="161" t="s">
        <v>3031</v>
      </c>
      <c r="H632" s="161" t="s">
        <v>180</v>
      </c>
      <c r="I632" s="161">
        <v>67</v>
      </c>
      <c r="J632" s="161" t="s">
        <v>3904</v>
      </c>
      <c r="K632" s="21" t="s">
        <v>106</v>
      </c>
      <c r="L632" s="161" t="s">
        <v>3380</v>
      </c>
      <c r="M632" s="21" t="s">
        <v>235</v>
      </c>
      <c r="N632" s="161" t="s">
        <v>67</v>
      </c>
      <c r="O632" s="21" t="s">
        <v>68</v>
      </c>
      <c r="P632" s="161" t="s">
        <v>109</v>
      </c>
      <c r="Q632" s="21" t="s">
        <v>2288</v>
      </c>
      <c r="R632" s="161">
        <v>70</v>
      </c>
      <c r="S632" s="161" t="s">
        <v>236</v>
      </c>
      <c r="T632" s="161" t="s">
        <v>390</v>
      </c>
      <c r="U632" s="161" t="s">
        <v>73</v>
      </c>
      <c r="V632" s="21" t="s">
        <v>74</v>
      </c>
      <c r="W632" s="21" t="s">
        <v>112</v>
      </c>
      <c r="X632" s="161" t="s">
        <v>270</v>
      </c>
      <c r="Y632" s="161">
        <v>0.02</v>
      </c>
      <c r="Z632" s="161">
        <v>4.4000000000000004</v>
      </c>
      <c r="AA632" s="161" t="s">
        <v>77</v>
      </c>
      <c r="AB632" s="161" t="s">
        <v>391</v>
      </c>
      <c r="AC632" s="266" t="str">
        <f>HYPERLINK("https://gcsvt.ru/svetodiodnyie-svetilniki/svt-str-mpro-max-81w-35-duo/","Ссылка")</f>
        <v>Ссылка</v>
      </c>
      <c r="AD632" s="167">
        <v>22801</v>
      </c>
    </row>
    <row r="633" spans="1:30" s="161" customFormat="1" ht="39.950000000000003" hidden="1" customHeight="1" outlineLevel="2" x14ac:dyDescent="0.25">
      <c r="A633" s="171"/>
      <c r="B633" s="21" t="s">
        <v>386</v>
      </c>
      <c r="C633" s="159" t="s">
        <v>2981</v>
      </c>
      <c r="D633" s="161">
        <v>23328</v>
      </c>
      <c r="E633" s="161">
        <v>162</v>
      </c>
      <c r="F633" s="161">
        <v>144</v>
      </c>
      <c r="G633" s="161" t="s">
        <v>3032</v>
      </c>
      <c r="H633" s="161" t="s">
        <v>183</v>
      </c>
      <c r="I633" s="161">
        <v>67</v>
      </c>
      <c r="J633" s="161" t="s">
        <v>105</v>
      </c>
      <c r="K633" s="21" t="s">
        <v>106</v>
      </c>
      <c r="L633" s="161" t="s">
        <v>3380</v>
      </c>
      <c r="M633" s="21" t="s">
        <v>235</v>
      </c>
      <c r="N633" s="161" t="s">
        <v>67</v>
      </c>
      <c r="O633" s="21" t="s">
        <v>68</v>
      </c>
      <c r="P633" s="161" t="s">
        <v>109</v>
      </c>
      <c r="Q633" s="21" t="s">
        <v>2288</v>
      </c>
      <c r="R633" s="161">
        <v>70</v>
      </c>
      <c r="S633" s="161" t="s">
        <v>236</v>
      </c>
      <c r="T633" s="161" t="s">
        <v>390</v>
      </c>
      <c r="U633" s="161" t="s">
        <v>73</v>
      </c>
      <c r="V633" s="21" t="s">
        <v>74</v>
      </c>
      <c r="W633" s="21" t="s">
        <v>112</v>
      </c>
      <c r="X633" s="161" t="s">
        <v>270</v>
      </c>
      <c r="Y633" s="161">
        <v>0.02</v>
      </c>
      <c r="Z633" s="161">
        <v>4.4000000000000004</v>
      </c>
      <c r="AA633" s="161" t="s">
        <v>77</v>
      </c>
      <c r="AB633" s="161" t="s">
        <v>391</v>
      </c>
      <c r="AC633" s="266" t="str">
        <f>HYPERLINK("https://gcsvt.ru/svetodiodnyie-svetilniki/svt-str-mpro-max-81w-65-duo/","Ссылка")</f>
        <v>Ссылка</v>
      </c>
      <c r="AD633" s="167">
        <v>22801</v>
      </c>
    </row>
    <row r="634" spans="1:30" s="161" customFormat="1" ht="39.950000000000003" hidden="1" customHeight="1" outlineLevel="2" x14ac:dyDescent="0.25">
      <c r="A634" s="171"/>
      <c r="B634" s="21" t="s">
        <v>386</v>
      </c>
      <c r="C634" s="159" t="s">
        <v>2982</v>
      </c>
      <c r="D634" s="161">
        <v>23328</v>
      </c>
      <c r="E634" s="161">
        <v>162</v>
      </c>
      <c r="F634" s="161">
        <v>144</v>
      </c>
      <c r="G634" s="161" t="s">
        <v>3033</v>
      </c>
      <c r="H634" s="161" t="s">
        <v>186</v>
      </c>
      <c r="I634" s="161">
        <v>67</v>
      </c>
      <c r="J634" s="161" t="s">
        <v>3904</v>
      </c>
      <c r="K634" s="21" t="s">
        <v>106</v>
      </c>
      <c r="L634" s="161" t="s">
        <v>3380</v>
      </c>
      <c r="M634" s="21" t="s">
        <v>235</v>
      </c>
      <c r="N634" s="161" t="s">
        <v>67</v>
      </c>
      <c r="O634" s="21" t="s">
        <v>68</v>
      </c>
      <c r="P634" s="161" t="s">
        <v>109</v>
      </c>
      <c r="Q634" s="21" t="s">
        <v>2288</v>
      </c>
      <c r="R634" s="161">
        <v>70</v>
      </c>
      <c r="S634" s="161" t="s">
        <v>236</v>
      </c>
      <c r="T634" s="161" t="s">
        <v>390</v>
      </c>
      <c r="U634" s="161" t="s">
        <v>73</v>
      </c>
      <c r="V634" s="21" t="s">
        <v>74</v>
      </c>
      <c r="W634" s="21" t="s">
        <v>112</v>
      </c>
      <c r="X634" s="161" t="s">
        <v>270</v>
      </c>
      <c r="Y634" s="161">
        <v>0.02</v>
      </c>
      <c r="Z634" s="161">
        <v>4.4000000000000004</v>
      </c>
      <c r="AA634" s="161" t="s">
        <v>77</v>
      </c>
      <c r="AB634" s="161" t="s">
        <v>391</v>
      </c>
      <c r="AC634" s="266" t="str">
        <f>HYPERLINK("https://gcsvt.ru/svetodiodnyie-svetilniki/svt-str-mpro-max-81w-100-duo/","Ссылка")</f>
        <v>Ссылка</v>
      </c>
      <c r="AD634" s="167">
        <v>22801</v>
      </c>
    </row>
    <row r="635" spans="1:30" s="161" customFormat="1" ht="39.950000000000003" hidden="1" customHeight="1" outlineLevel="2" x14ac:dyDescent="0.25">
      <c r="A635" s="171"/>
      <c r="B635" s="21" t="s">
        <v>386</v>
      </c>
      <c r="C635" s="159" t="s">
        <v>2983</v>
      </c>
      <c r="D635" s="161">
        <v>23328</v>
      </c>
      <c r="E635" s="161">
        <v>162</v>
      </c>
      <c r="F635" s="161">
        <v>144</v>
      </c>
      <c r="G635" s="161" t="s">
        <v>3034</v>
      </c>
      <c r="H635" s="161" t="s">
        <v>189</v>
      </c>
      <c r="I635" s="161">
        <v>67</v>
      </c>
      <c r="J635" s="161" t="s">
        <v>105</v>
      </c>
      <c r="K635" s="21" t="s">
        <v>106</v>
      </c>
      <c r="L635" s="161" t="s">
        <v>3380</v>
      </c>
      <c r="M635" s="21" t="s">
        <v>235</v>
      </c>
      <c r="N635" s="161" t="s">
        <v>67</v>
      </c>
      <c r="O635" s="21" t="s">
        <v>68</v>
      </c>
      <c r="P635" s="161" t="s">
        <v>109</v>
      </c>
      <c r="Q635" s="21" t="s">
        <v>2288</v>
      </c>
      <c r="R635" s="161">
        <v>70</v>
      </c>
      <c r="S635" s="161" t="s">
        <v>236</v>
      </c>
      <c r="T635" s="161" t="s">
        <v>390</v>
      </c>
      <c r="U635" s="161" t="s">
        <v>73</v>
      </c>
      <c r="V635" s="21" t="s">
        <v>74</v>
      </c>
      <c r="W635" s="21" t="s">
        <v>112</v>
      </c>
      <c r="X635" s="161" t="s">
        <v>270</v>
      </c>
      <c r="Y635" s="161">
        <v>0.02</v>
      </c>
      <c r="Z635" s="161">
        <v>4.4000000000000004</v>
      </c>
      <c r="AA635" s="161" t="s">
        <v>77</v>
      </c>
      <c r="AB635" s="161" t="s">
        <v>391</v>
      </c>
      <c r="AC635" s="266" t="str">
        <f>HYPERLINK("https://gcsvt.ru/svetodiodnyie-svetilniki/svt-str-mpro-max-81w-30x120-duo/","Ссылка")</f>
        <v>Ссылка</v>
      </c>
      <c r="AD635" s="167">
        <v>22801</v>
      </c>
    </row>
    <row r="636" spans="1:30" s="161" customFormat="1" ht="39.950000000000003" hidden="1" customHeight="1" outlineLevel="2" x14ac:dyDescent="0.25">
      <c r="A636" s="171"/>
      <c r="B636" s="21" t="s">
        <v>386</v>
      </c>
      <c r="C636" s="159" t="s">
        <v>2984</v>
      </c>
      <c r="D636" s="161">
        <v>23328</v>
      </c>
      <c r="E636" s="161">
        <v>162</v>
      </c>
      <c r="F636" s="161">
        <v>144</v>
      </c>
      <c r="G636" s="161" t="s">
        <v>3035</v>
      </c>
      <c r="H636" s="161" t="s">
        <v>192</v>
      </c>
      <c r="I636" s="161">
        <v>67</v>
      </c>
      <c r="J636" s="161" t="s">
        <v>3904</v>
      </c>
      <c r="K636" s="21" t="s">
        <v>106</v>
      </c>
      <c r="L636" s="161" t="s">
        <v>3380</v>
      </c>
      <c r="M636" s="21" t="s">
        <v>235</v>
      </c>
      <c r="N636" s="161" t="s">
        <v>67</v>
      </c>
      <c r="O636" s="21" t="s">
        <v>68</v>
      </c>
      <c r="P636" s="161" t="s">
        <v>109</v>
      </c>
      <c r="Q636" s="21" t="s">
        <v>2288</v>
      </c>
      <c r="R636" s="161">
        <v>70</v>
      </c>
      <c r="S636" s="161" t="s">
        <v>236</v>
      </c>
      <c r="T636" s="161" t="s">
        <v>390</v>
      </c>
      <c r="U636" s="161" t="s">
        <v>73</v>
      </c>
      <c r="V636" s="21" t="s">
        <v>74</v>
      </c>
      <c r="W636" s="21" t="s">
        <v>112</v>
      </c>
      <c r="X636" s="161" t="s">
        <v>270</v>
      </c>
      <c r="Y636" s="161">
        <v>0.02</v>
      </c>
      <c r="Z636" s="161">
        <v>4.4000000000000004</v>
      </c>
      <c r="AA636" s="161" t="s">
        <v>77</v>
      </c>
      <c r="AB636" s="161" t="s">
        <v>391</v>
      </c>
      <c r="AC636" s="266" t="str">
        <f>HYPERLINK("https://gcsvt.ru/svetodiodnyie-svetilniki/svt-str-mpro-max-81w-vsm-duo/","Ссылка")</f>
        <v>Ссылка</v>
      </c>
      <c r="AD636" s="167">
        <v>22801</v>
      </c>
    </row>
    <row r="637" spans="1:30" s="161" customFormat="1" ht="39.950000000000003" hidden="1" customHeight="1" outlineLevel="2" x14ac:dyDescent="0.25">
      <c r="A637" s="171"/>
      <c r="B637" s="21" t="s">
        <v>386</v>
      </c>
      <c r="C637" s="159" t="s">
        <v>2985</v>
      </c>
      <c r="D637" s="161">
        <v>23328</v>
      </c>
      <c r="E637" s="161">
        <v>162</v>
      </c>
      <c r="F637" s="161">
        <v>144</v>
      </c>
      <c r="G637" s="161" t="s">
        <v>3036</v>
      </c>
      <c r="H637" s="161" t="s">
        <v>63</v>
      </c>
      <c r="I637" s="161">
        <v>67</v>
      </c>
      <c r="J637" s="161" t="s">
        <v>105</v>
      </c>
      <c r="K637" s="21" t="s">
        <v>106</v>
      </c>
      <c r="L637" s="161" t="s">
        <v>3380</v>
      </c>
      <c r="M637" s="21" t="s">
        <v>235</v>
      </c>
      <c r="N637" s="161" t="s">
        <v>67</v>
      </c>
      <c r="O637" s="21" t="s">
        <v>68</v>
      </c>
      <c r="P637" s="161" t="s">
        <v>109</v>
      </c>
      <c r="Q637" s="21" t="s">
        <v>2288</v>
      </c>
      <c r="R637" s="161">
        <v>70</v>
      </c>
      <c r="S637" s="161" t="s">
        <v>236</v>
      </c>
      <c r="T637" s="161" t="s">
        <v>390</v>
      </c>
      <c r="U637" s="161" t="s">
        <v>73</v>
      </c>
      <c r="V637" s="21" t="s">
        <v>74</v>
      </c>
      <c r="W637" s="21" t="s">
        <v>112</v>
      </c>
      <c r="X637" s="161" t="s">
        <v>270</v>
      </c>
      <c r="Y637" s="161">
        <v>0.02</v>
      </c>
      <c r="Z637" s="161">
        <v>4.4000000000000004</v>
      </c>
      <c r="AA637" s="161" t="s">
        <v>77</v>
      </c>
      <c r="AB637" s="161" t="s">
        <v>391</v>
      </c>
      <c r="AC637" s="266" t="str">
        <f>HYPERLINK("https://gcsvt.ru/svetodiodnyie-svetilniki/svt-str-mpro-max-81w-45x140-duo/","Ссылка")</f>
        <v>Ссылка</v>
      </c>
      <c r="AD637" s="167">
        <v>22801</v>
      </c>
    </row>
    <row r="638" spans="1:30" s="161" customFormat="1" ht="39.950000000000003" hidden="1" customHeight="1" outlineLevel="2" x14ac:dyDescent="0.25">
      <c r="A638" s="171"/>
      <c r="B638" s="21" t="s">
        <v>386</v>
      </c>
      <c r="C638" s="159" t="s">
        <v>2994</v>
      </c>
      <c r="D638" s="161">
        <v>23328</v>
      </c>
      <c r="E638" s="161">
        <v>162</v>
      </c>
      <c r="F638" s="161">
        <v>144</v>
      </c>
      <c r="G638" s="161" t="s">
        <v>3037</v>
      </c>
      <c r="H638" s="161" t="s">
        <v>63</v>
      </c>
      <c r="I638" s="161">
        <v>67</v>
      </c>
      <c r="J638" s="161" t="s">
        <v>3904</v>
      </c>
      <c r="K638" s="21" t="s">
        <v>106</v>
      </c>
      <c r="L638" s="161" t="s">
        <v>3380</v>
      </c>
      <c r="M638" s="21" t="s">
        <v>235</v>
      </c>
      <c r="N638" s="161" t="s">
        <v>67</v>
      </c>
      <c r="O638" s="21" t="s">
        <v>68</v>
      </c>
      <c r="P638" s="161" t="s">
        <v>109</v>
      </c>
      <c r="Q638" s="21" t="s">
        <v>2288</v>
      </c>
      <c r="R638" s="161">
        <v>70</v>
      </c>
      <c r="S638" s="161" t="s">
        <v>236</v>
      </c>
      <c r="T638" s="161" t="s">
        <v>390</v>
      </c>
      <c r="U638" s="161" t="s">
        <v>73</v>
      </c>
      <c r="V638" s="21" t="s">
        <v>74</v>
      </c>
      <c r="W638" s="21" t="s">
        <v>160</v>
      </c>
      <c r="X638" s="161" t="s">
        <v>3025</v>
      </c>
      <c r="Y638" s="161">
        <v>0.02</v>
      </c>
      <c r="Z638" s="161">
        <v>4.4000000000000004</v>
      </c>
      <c r="AA638" s="161" t="s">
        <v>77</v>
      </c>
      <c r="AB638" s="161" t="s">
        <v>391</v>
      </c>
      <c r="AC638" s="266" t="str">
        <f>HYPERLINK("https://gcsvt.ru/svetodiodnyie-svetilniki/svt-str-mpro-max-81w-45x140-c-duo/","Ссылка")</f>
        <v>Ссылка</v>
      </c>
      <c r="AD638" s="167">
        <v>22801</v>
      </c>
    </row>
    <row r="639" spans="1:30" s="161" customFormat="1" ht="39.950000000000003" hidden="1" customHeight="1" outlineLevel="2" x14ac:dyDescent="0.25">
      <c r="A639" s="171"/>
      <c r="B639" s="21" t="s">
        <v>386</v>
      </c>
      <c r="C639" s="159" t="s">
        <v>2986</v>
      </c>
      <c r="D639" s="161">
        <v>35424</v>
      </c>
      <c r="E639" s="161">
        <v>246</v>
      </c>
      <c r="F639" s="161">
        <v>144</v>
      </c>
      <c r="G639" s="161" t="s">
        <v>3038</v>
      </c>
      <c r="H639" s="161" t="s">
        <v>177</v>
      </c>
      <c r="I639" s="161">
        <v>67</v>
      </c>
      <c r="J639" s="161" t="s">
        <v>105</v>
      </c>
      <c r="K639" s="21" t="s">
        <v>106</v>
      </c>
      <c r="L639" s="161" t="s">
        <v>3380</v>
      </c>
      <c r="M639" s="21" t="s">
        <v>235</v>
      </c>
      <c r="N639" s="161" t="s">
        <v>67</v>
      </c>
      <c r="O639" s="21" t="s">
        <v>68</v>
      </c>
      <c r="P639" s="161" t="s">
        <v>109</v>
      </c>
      <c r="Q639" s="21" t="s">
        <v>2288</v>
      </c>
      <c r="R639" s="161">
        <v>70</v>
      </c>
      <c r="S639" s="161" t="s">
        <v>3019</v>
      </c>
      <c r="T639" s="161" t="s">
        <v>390</v>
      </c>
      <c r="U639" s="161" t="s">
        <v>73</v>
      </c>
      <c r="V639" s="21" t="s">
        <v>74</v>
      </c>
      <c r="W639" s="21" t="s">
        <v>112</v>
      </c>
      <c r="X639" s="161" t="s">
        <v>274</v>
      </c>
      <c r="Y639" s="161">
        <v>0.02</v>
      </c>
      <c r="Z639" s="161">
        <v>6.6</v>
      </c>
      <c r="AA639" s="161" t="s">
        <v>77</v>
      </c>
      <c r="AB639" s="161" t="s">
        <v>391</v>
      </c>
      <c r="AC639" s="266" t="str">
        <f>HYPERLINK("https://gcsvt.ru/svetodiodnyie-svetilniki/svt-str-mpro-max-81w-20-trio/","Ссылка")</f>
        <v>Ссылка</v>
      </c>
      <c r="AD639" s="167">
        <v>34199</v>
      </c>
    </row>
    <row r="640" spans="1:30" s="161" customFormat="1" ht="39.950000000000003" hidden="1" customHeight="1" outlineLevel="2" x14ac:dyDescent="0.25">
      <c r="A640" s="171"/>
      <c r="B640" s="21" t="s">
        <v>386</v>
      </c>
      <c r="C640" s="159" t="s">
        <v>2987</v>
      </c>
      <c r="D640" s="161">
        <v>35424</v>
      </c>
      <c r="E640" s="161">
        <v>246</v>
      </c>
      <c r="F640" s="161">
        <v>144</v>
      </c>
      <c r="G640" s="161" t="s">
        <v>3039</v>
      </c>
      <c r="H640" s="161" t="s">
        <v>180</v>
      </c>
      <c r="I640" s="161">
        <v>67</v>
      </c>
      <c r="J640" s="161" t="s">
        <v>3904</v>
      </c>
      <c r="K640" s="21" t="s">
        <v>106</v>
      </c>
      <c r="L640" s="161" t="s">
        <v>3380</v>
      </c>
      <c r="M640" s="21" t="s">
        <v>235</v>
      </c>
      <c r="N640" s="161" t="s">
        <v>67</v>
      </c>
      <c r="O640" s="21" t="s">
        <v>68</v>
      </c>
      <c r="P640" s="161" t="s">
        <v>109</v>
      </c>
      <c r="Q640" s="21" t="s">
        <v>2288</v>
      </c>
      <c r="R640" s="161">
        <v>70</v>
      </c>
      <c r="S640" s="161" t="s">
        <v>3019</v>
      </c>
      <c r="T640" s="161" t="s">
        <v>390</v>
      </c>
      <c r="U640" s="161" t="s">
        <v>73</v>
      </c>
      <c r="V640" s="21" t="s">
        <v>74</v>
      </c>
      <c r="W640" s="21" t="s">
        <v>112</v>
      </c>
      <c r="X640" s="161" t="s">
        <v>274</v>
      </c>
      <c r="Y640" s="161">
        <v>0.02</v>
      </c>
      <c r="Z640" s="161">
        <v>6.6</v>
      </c>
      <c r="AA640" s="161" t="s">
        <v>77</v>
      </c>
      <c r="AB640" s="161" t="s">
        <v>391</v>
      </c>
      <c r="AC640" s="266" t="str">
        <f>HYPERLINK("https://gcsvt.ru/svetodiodnyie-svetilniki/svt-str-mpro-max-81w-35-trio/","Ссылка")</f>
        <v>Ссылка</v>
      </c>
      <c r="AD640" s="167">
        <v>34199</v>
      </c>
    </row>
    <row r="641" spans="1:30" s="161" customFormat="1" ht="39.950000000000003" hidden="1" customHeight="1" outlineLevel="2" x14ac:dyDescent="0.25">
      <c r="A641" s="171"/>
      <c r="B641" s="21" t="s">
        <v>386</v>
      </c>
      <c r="C641" s="159" t="s">
        <v>2988</v>
      </c>
      <c r="D641" s="161">
        <v>35424</v>
      </c>
      <c r="E641" s="161">
        <v>246</v>
      </c>
      <c r="F641" s="161">
        <v>144</v>
      </c>
      <c r="G641" s="161" t="s">
        <v>3040</v>
      </c>
      <c r="H641" s="161" t="s">
        <v>183</v>
      </c>
      <c r="I641" s="161">
        <v>67</v>
      </c>
      <c r="J641" s="161" t="s">
        <v>105</v>
      </c>
      <c r="K641" s="21" t="s">
        <v>106</v>
      </c>
      <c r="L641" s="161" t="s">
        <v>3380</v>
      </c>
      <c r="M641" s="21" t="s">
        <v>235</v>
      </c>
      <c r="N641" s="161" t="s">
        <v>67</v>
      </c>
      <c r="O641" s="21" t="s">
        <v>68</v>
      </c>
      <c r="P641" s="161" t="s">
        <v>109</v>
      </c>
      <c r="Q641" s="21" t="s">
        <v>2288</v>
      </c>
      <c r="R641" s="161">
        <v>70</v>
      </c>
      <c r="S641" s="161" t="s">
        <v>3019</v>
      </c>
      <c r="T641" s="161" t="s">
        <v>390</v>
      </c>
      <c r="U641" s="161" t="s">
        <v>73</v>
      </c>
      <c r="V641" s="21" t="s">
        <v>74</v>
      </c>
      <c r="W641" s="21" t="s">
        <v>112</v>
      </c>
      <c r="X641" s="161" t="s">
        <v>274</v>
      </c>
      <c r="Y641" s="161">
        <v>0.02</v>
      </c>
      <c r="Z641" s="161">
        <v>6.6</v>
      </c>
      <c r="AA641" s="161" t="s">
        <v>77</v>
      </c>
      <c r="AB641" s="161" t="s">
        <v>391</v>
      </c>
      <c r="AC641" s="266" t="str">
        <f>HYPERLINK("https://gcsvt.ru/svetodiodnyie-svetilniki/svt-str-mpro-max-81w-65-trio/","Ссылка")</f>
        <v>Ссылка</v>
      </c>
      <c r="AD641" s="167">
        <v>34199</v>
      </c>
    </row>
    <row r="642" spans="1:30" s="161" customFormat="1" ht="39.950000000000003" hidden="1" customHeight="1" outlineLevel="2" x14ac:dyDescent="0.25">
      <c r="A642" s="171"/>
      <c r="B642" s="21" t="s">
        <v>386</v>
      </c>
      <c r="C642" s="159" t="s">
        <v>2989</v>
      </c>
      <c r="D642" s="161">
        <v>35424</v>
      </c>
      <c r="E642" s="161">
        <v>246</v>
      </c>
      <c r="F642" s="161">
        <v>144</v>
      </c>
      <c r="G642" s="161" t="s">
        <v>3041</v>
      </c>
      <c r="H642" s="161" t="s">
        <v>186</v>
      </c>
      <c r="I642" s="161">
        <v>67</v>
      </c>
      <c r="J642" s="161" t="s">
        <v>3904</v>
      </c>
      <c r="K642" s="21" t="s">
        <v>106</v>
      </c>
      <c r="L642" s="161" t="s">
        <v>3380</v>
      </c>
      <c r="M642" s="21" t="s">
        <v>235</v>
      </c>
      <c r="N642" s="161" t="s">
        <v>67</v>
      </c>
      <c r="O642" s="21" t="s">
        <v>68</v>
      </c>
      <c r="P642" s="161" t="s">
        <v>109</v>
      </c>
      <c r="Q642" s="21" t="s">
        <v>2288</v>
      </c>
      <c r="R642" s="161">
        <v>70</v>
      </c>
      <c r="S642" s="161" t="s">
        <v>3019</v>
      </c>
      <c r="T642" s="161" t="s">
        <v>390</v>
      </c>
      <c r="U642" s="161" t="s">
        <v>73</v>
      </c>
      <c r="V642" s="21" t="s">
        <v>74</v>
      </c>
      <c r="W642" s="21" t="s">
        <v>112</v>
      </c>
      <c r="X642" s="161" t="s">
        <v>274</v>
      </c>
      <c r="Y642" s="161">
        <v>0.02</v>
      </c>
      <c r="Z642" s="161">
        <v>6.6</v>
      </c>
      <c r="AA642" s="161" t="s">
        <v>77</v>
      </c>
      <c r="AB642" s="161" t="s">
        <v>391</v>
      </c>
      <c r="AC642" s="266" t="str">
        <f>HYPERLINK("https://gcsvt.ru/svetodiodnyie-svetilniki/svt-str-mpro-max-81w-100-trio/","Ссылка")</f>
        <v>Ссылка</v>
      </c>
      <c r="AD642" s="167">
        <v>34199</v>
      </c>
    </row>
    <row r="643" spans="1:30" s="161" customFormat="1" ht="39.950000000000003" hidden="1" customHeight="1" outlineLevel="2" x14ac:dyDescent="0.25">
      <c r="A643" s="171"/>
      <c r="B643" s="21" t="s">
        <v>386</v>
      </c>
      <c r="C643" s="159" t="s">
        <v>2990</v>
      </c>
      <c r="D643" s="161">
        <v>35424</v>
      </c>
      <c r="E643" s="161">
        <v>246</v>
      </c>
      <c r="F643" s="161">
        <v>144</v>
      </c>
      <c r="G643" s="161" t="s">
        <v>3042</v>
      </c>
      <c r="H643" s="161" t="s">
        <v>189</v>
      </c>
      <c r="I643" s="161">
        <v>67</v>
      </c>
      <c r="J643" s="161" t="s">
        <v>105</v>
      </c>
      <c r="K643" s="21" t="s">
        <v>106</v>
      </c>
      <c r="L643" s="161" t="s">
        <v>3380</v>
      </c>
      <c r="M643" s="21" t="s">
        <v>235</v>
      </c>
      <c r="N643" s="161" t="s">
        <v>67</v>
      </c>
      <c r="O643" s="21" t="s">
        <v>68</v>
      </c>
      <c r="P643" s="161" t="s">
        <v>109</v>
      </c>
      <c r="Q643" s="21" t="s">
        <v>2288</v>
      </c>
      <c r="R643" s="161">
        <v>70</v>
      </c>
      <c r="S643" s="161" t="s">
        <v>3019</v>
      </c>
      <c r="T643" s="161" t="s">
        <v>390</v>
      </c>
      <c r="U643" s="161" t="s">
        <v>73</v>
      </c>
      <c r="V643" s="21" t="s">
        <v>74</v>
      </c>
      <c r="W643" s="21" t="s">
        <v>112</v>
      </c>
      <c r="X643" s="161" t="s">
        <v>274</v>
      </c>
      <c r="Y643" s="161">
        <v>0.02</v>
      </c>
      <c r="Z643" s="161">
        <v>6.6</v>
      </c>
      <c r="AA643" s="161" t="s">
        <v>77</v>
      </c>
      <c r="AB643" s="161" t="s">
        <v>391</v>
      </c>
      <c r="AC643" s="266" t="str">
        <f>HYPERLINK("https://gcsvt.ru/svetodiodnyie-svetilniki/svt-str-mpro-max-81w-30x120-trio/","Ссылка")</f>
        <v>Ссылка</v>
      </c>
      <c r="AD643" s="167">
        <v>34199</v>
      </c>
    </row>
    <row r="644" spans="1:30" s="161" customFormat="1" ht="39.950000000000003" hidden="1" customHeight="1" outlineLevel="2" x14ac:dyDescent="0.25">
      <c r="A644" s="171"/>
      <c r="B644" s="21" t="s">
        <v>386</v>
      </c>
      <c r="C644" s="159" t="s">
        <v>2991</v>
      </c>
      <c r="D644" s="161">
        <v>35424</v>
      </c>
      <c r="E644" s="161">
        <v>246</v>
      </c>
      <c r="F644" s="161">
        <v>144</v>
      </c>
      <c r="G644" s="161" t="s">
        <v>3043</v>
      </c>
      <c r="H644" s="161" t="s">
        <v>192</v>
      </c>
      <c r="I644" s="161">
        <v>67</v>
      </c>
      <c r="J644" s="161" t="s">
        <v>3904</v>
      </c>
      <c r="K644" s="21" t="s">
        <v>106</v>
      </c>
      <c r="L644" s="161" t="s">
        <v>3380</v>
      </c>
      <c r="M644" s="21" t="s">
        <v>235</v>
      </c>
      <c r="N644" s="161" t="s">
        <v>67</v>
      </c>
      <c r="O644" s="21" t="s">
        <v>68</v>
      </c>
      <c r="P644" s="161" t="s">
        <v>109</v>
      </c>
      <c r="Q644" s="21" t="s">
        <v>2288</v>
      </c>
      <c r="R644" s="161">
        <v>70</v>
      </c>
      <c r="S644" s="161" t="s">
        <v>3019</v>
      </c>
      <c r="T644" s="161" t="s">
        <v>390</v>
      </c>
      <c r="U644" s="161" t="s">
        <v>73</v>
      </c>
      <c r="V644" s="21" t="s">
        <v>74</v>
      </c>
      <c r="W644" s="21" t="s">
        <v>112</v>
      </c>
      <c r="X644" s="161" t="s">
        <v>274</v>
      </c>
      <c r="Y644" s="161">
        <v>0.02</v>
      </c>
      <c r="Z644" s="161">
        <v>6.6</v>
      </c>
      <c r="AA644" s="161" t="s">
        <v>77</v>
      </c>
      <c r="AB644" s="161" t="s">
        <v>391</v>
      </c>
      <c r="AC644" s="266" t="str">
        <f>HYPERLINK("https://gcsvt.ru/svetodiodnyie-svetilniki/svt-str-mpro-max-81w-vsm-trio/","Ссылка")</f>
        <v>Ссылка</v>
      </c>
      <c r="AD644" s="167">
        <v>34199</v>
      </c>
    </row>
    <row r="645" spans="1:30" s="161" customFormat="1" ht="39.950000000000003" hidden="1" customHeight="1" outlineLevel="2" x14ac:dyDescent="0.25">
      <c r="A645" s="171"/>
      <c r="B645" s="21" t="s">
        <v>386</v>
      </c>
      <c r="C645" s="159" t="s">
        <v>2992</v>
      </c>
      <c r="D645" s="161">
        <v>35424</v>
      </c>
      <c r="E645" s="161">
        <v>246</v>
      </c>
      <c r="F645" s="161">
        <v>144</v>
      </c>
      <c r="G645" s="161" t="s">
        <v>3044</v>
      </c>
      <c r="H645" s="161" t="s">
        <v>63</v>
      </c>
      <c r="I645" s="161">
        <v>67</v>
      </c>
      <c r="J645" s="161" t="s">
        <v>105</v>
      </c>
      <c r="K645" s="21" t="s">
        <v>106</v>
      </c>
      <c r="L645" s="161" t="s">
        <v>3380</v>
      </c>
      <c r="M645" s="21" t="s">
        <v>235</v>
      </c>
      <c r="N645" s="161" t="s">
        <v>67</v>
      </c>
      <c r="O645" s="21" t="s">
        <v>68</v>
      </c>
      <c r="P645" s="161" t="s">
        <v>109</v>
      </c>
      <c r="Q645" s="21" t="s">
        <v>2288</v>
      </c>
      <c r="R645" s="161">
        <v>70</v>
      </c>
      <c r="S645" s="161" t="s">
        <v>3019</v>
      </c>
      <c r="T645" s="161" t="s">
        <v>390</v>
      </c>
      <c r="U645" s="161" t="s">
        <v>73</v>
      </c>
      <c r="V645" s="21" t="s">
        <v>74</v>
      </c>
      <c r="W645" s="21" t="s">
        <v>112</v>
      </c>
      <c r="X645" s="161" t="s">
        <v>274</v>
      </c>
      <c r="Y645" s="161">
        <v>0.02</v>
      </c>
      <c r="Z645" s="161">
        <v>6.6</v>
      </c>
      <c r="AA645" s="161" t="s">
        <v>77</v>
      </c>
      <c r="AB645" s="161" t="s">
        <v>391</v>
      </c>
      <c r="AC645" s="266" t="str">
        <f>HYPERLINK("https://gcsvt.ru/svetodiodnyie-svetilniki/svt-str-mpro-max-81w-45x140-trio/","Ссылка")</f>
        <v>Ссылка</v>
      </c>
      <c r="AD645" s="167">
        <v>34199</v>
      </c>
    </row>
    <row r="646" spans="1:30" s="161" customFormat="1" ht="39.950000000000003" hidden="1" customHeight="1" outlineLevel="2" x14ac:dyDescent="0.25">
      <c r="A646" s="171"/>
      <c r="B646" s="21" t="s">
        <v>386</v>
      </c>
      <c r="C646" s="159" t="s">
        <v>2993</v>
      </c>
      <c r="D646" s="161">
        <v>35424</v>
      </c>
      <c r="E646" s="161">
        <v>246</v>
      </c>
      <c r="F646" s="161">
        <v>144</v>
      </c>
      <c r="G646" s="161" t="s">
        <v>3045</v>
      </c>
      <c r="H646" s="161" t="s">
        <v>63</v>
      </c>
      <c r="I646" s="161">
        <v>67</v>
      </c>
      <c r="J646" s="161" t="s">
        <v>3904</v>
      </c>
      <c r="K646" s="21" t="s">
        <v>106</v>
      </c>
      <c r="L646" s="161" t="s">
        <v>3380</v>
      </c>
      <c r="M646" s="21" t="s">
        <v>235</v>
      </c>
      <c r="N646" s="161" t="s">
        <v>67</v>
      </c>
      <c r="O646" s="21" t="s">
        <v>68</v>
      </c>
      <c r="P646" s="161" t="s">
        <v>109</v>
      </c>
      <c r="Q646" s="21" t="s">
        <v>2288</v>
      </c>
      <c r="R646" s="161">
        <v>70</v>
      </c>
      <c r="S646" s="161" t="s">
        <v>3019</v>
      </c>
      <c r="T646" s="161" t="s">
        <v>390</v>
      </c>
      <c r="U646" s="161" t="s">
        <v>73</v>
      </c>
      <c r="V646" s="21" t="s">
        <v>74</v>
      </c>
      <c r="W646" s="21" t="s">
        <v>160</v>
      </c>
      <c r="X646" s="161" t="s">
        <v>3020</v>
      </c>
      <c r="Y646" s="161">
        <v>0.02</v>
      </c>
      <c r="Z646" s="161">
        <v>6.6</v>
      </c>
      <c r="AA646" s="161" t="s">
        <v>77</v>
      </c>
      <c r="AB646" s="161" t="s">
        <v>391</v>
      </c>
      <c r="AC646" s="266" t="str">
        <f>HYPERLINK("https://gcsvt.ru/svetodiodnyie-svetilniki/svt-str-mpro-max-81w-45x140-c-trio/","Ссылка")</f>
        <v>Ссылка</v>
      </c>
      <c r="AD646" s="167">
        <v>34199</v>
      </c>
    </row>
    <row r="647" spans="1:30" s="161" customFormat="1" ht="39.950000000000003" hidden="1" customHeight="1" outlineLevel="2" x14ac:dyDescent="0.25">
      <c r="A647" s="171"/>
      <c r="B647" s="21" t="s">
        <v>386</v>
      </c>
      <c r="C647" s="159" t="s">
        <v>458</v>
      </c>
      <c r="D647" s="161">
        <v>35060</v>
      </c>
      <c r="E647" s="161">
        <v>238</v>
      </c>
      <c r="F647" s="161">
        <v>147</v>
      </c>
      <c r="G647" s="161" t="s">
        <v>459</v>
      </c>
      <c r="H647" s="161" t="s">
        <v>177</v>
      </c>
      <c r="I647" s="161">
        <v>67</v>
      </c>
      <c r="J647" s="161" t="s">
        <v>105</v>
      </c>
      <c r="K647" s="21" t="s">
        <v>106</v>
      </c>
      <c r="L647" s="161" t="s">
        <v>3380</v>
      </c>
      <c r="M647" s="21" t="s">
        <v>235</v>
      </c>
      <c r="N647" s="161" t="s">
        <v>67</v>
      </c>
      <c r="O647" s="21" t="s">
        <v>68</v>
      </c>
      <c r="P647" s="161" t="s">
        <v>109</v>
      </c>
      <c r="Q647" s="21" t="s">
        <v>2288</v>
      </c>
      <c r="R647" s="161">
        <v>70</v>
      </c>
      <c r="S647" s="161" t="s">
        <v>281</v>
      </c>
      <c r="T647" s="161" t="s">
        <v>390</v>
      </c>
      <c r="U647" s="161" t="s">
        <v>73</v>
      </c>
      <c r="V647" s="21" t="s">
        <v>74</v>
      </c>
      <c r="W647" s="21" t="s">
        <v>257</v>
      </c>
      <c r="X647" s="161" t="s">
        <v>460</v>
      </c>
      <c r="Y647" s="161">
        <v>0.02</v>
      </c>
      <c r="Z647" s="161">
        <v>6.5</v>
      </c>
      <c r="AA647" s="161" t="s">
        <v>77</v>
      </c>
      <c r="AB647" s="161" t="s">
        <v>391</v>
      </c>
      <c r="AC647" s="266" t="str">
        <f>HYPERLINK("https://gcsvt.ru/svetodiodnyie-svetilniki/svt-str-mpro-max-119w-20-duo/","Ссылка")</f>
        <v>Ссылка</v>
      </c>
      <c r="AD647" s="167">
        <v>28455</v>
      </c>
    </row>
    <row r="648" spans="1:30" s="161" customFormat="1" ht="39.950000000000003" hidden="1" customHeight="1" outlineLevel="2" x14ac:dyDescent="0.25">
      <c r="A648" s="171"/>
      <c r="B648" s="21" t="s">
        <v>386</v>
      </c>
      <c r="C648" s="159" t="s">
        <v>461</v>
      </c>
      <c r="D648" s="161">
        <v>35060</v>
      </c>
      <c r="E648" s="161">
        <v>238</v>
      </c>
      <c r="F648" s="161">
        <v>147</v>
      </c>
      <c r="G648" s="161" t="s">
        <v>462</v>
      </c>
      <c r="H648" s="161" t="s">
        <v>180</v>
      </c>
      <c r="I648" s="161">
        <v>67</v>
      </c>
      <c r="J648" s="161" t="s">
        <v>3904</v>
      </c>
      <c r="K648" s="21" t="s">
        <v>106</v>
      </c>
      <c r="L648" s="161" t="s">
        <v>3380</v>
      </c>
      <c r="M648" s="21" t="s">
        <v>235</v>
      </c>
      <c r="N648" s="161" t="s">
        <v>67</v>
      </c>
      <c r="O648" s="21" t="s">
        <v>68</v>
      </c>
      <c r="P648" s="161" t="s">
        <v>109</v>
      </c>
      <c r="Q648" s="21" t="s">
        <v>2288</v>
      </c>
      <c r="R648" s="161">
        <v>70</v>
      </c>
      <c r="S648" s="161" t="s">
        <v>281</v>
      </c>
      <c r="T648" s="161" t="s">
        <v>390</v>
      </c>
      <c r="U648" s="161" t="s">
        <v>73</v>
      </c>
      <c r="V648" s="21" t="s">
        <v>74</v>
      </c>
      <c r="W648" s="21" t="s">
        <v>257</v>
      </c>
      <c r="X648" s="161" t="s">
        <v>460</v>
      </c>
      <c r="Y648" s="161">
        <v>0.02</v>
      </c>
      <c r="Z648" s="161">
        <v>6.5</v>
      </c>
      <c r="AA648" s="161" t="s">
        <v>77</v>
      </c>
      <c r="AB648" s="161" t="s">
        <v>391</v>
      </c>
      <c r="AC648" s="266" t="str">
        <f>HYPERLINK("https://gcsvt.ru/svetodiodnyie-svetilniki/svt-str-mpro-max-119w-35-duo/","Ссылка")</f>
        <v>Ссылка</v>
      </c>
      <c r="AD648" s="167">
        <v>28455</v>
      </c>
    </row>
    <row r="649" spans="1:30" s="161" customFormat="1" ht="39.950000000000003" hidden="1" customHeight="1" outlineLevel="2" x14ac:dyDescent="0.25">
      <c r="A649" s="171"/>
      <c r="B649" s="21" t="s">
        <v>386</v>
      </c>
      <c r="C649" s="159" t="s">
        <v>463</v>
      </c>
      <c r="D649" s="161">
        <v>35060</v>
      </c>
      <c r="E649" s="161">
        <v>238</v>
      </c>
      <c r="F649" s="161">
        <v>147</v>
      </c>
      <c r="G649" s="161" t="s">
        <v>464</v>
      </c>
      <c r="H649" s="161" t="s">
        <v>183</v>
      </c>
      <c r="I649" s="161">
        <v>67</v>
      </c>
      <c r="J649" s="161" t="s">
        <v>105</v>
      </c>
      <c r="K649" s="21" t="s">
        <v>106</v>
      </c>
      <c r="L649" s="161" t="s">
        <v>3380</v>
      </c>
      <c r="M649" s="21" t="s">
        <v>235</v>
      </c>
      <c r="N649" s="161" t="s">
        <v>67</v>
      </c>
      <c r="O649" s="21" t="s">
        <v>68</v>
      </c>
      <c r="P649" s="161" t="s">
        <v>109</v>
      </c>
      <c r="Q649" s="21" t="s">
        <v>2288</v>
      </c>
      <c r="R649" s="161">
        <v>70</v>
      </c>
      <c r="S649" s="161" t="s">
        <v>281</v>
      </c>
      <c r="T649" s="161" t="s">
        <v>390</v>
      </c>
      <c r="U649" s="161" t="s">
        <v>73</v>
      </c>
      <c r="V649" s="21" t="s">
        <v>74</v>
      </c>
      <c r="W649" s="21" t="s">
        <v>257</v>
      </c>
      <c r="X649" s="161" t="s">
        <v>460</v>
      </c>
      <c r="Y649" s="161">
        <v>0.02</v>
      </c>
      <c r="Z649" s="161">
        <v>6.5</v>
      </c>
      <c r="AA649" s="161" t="s">
        <v>77</v>
      </c>
      <c r="AB649" s="161" t="s">
        <v>391</v>
      </c>
      <c r="AC649" s="266" t="str">
        <f>HYPERLINK("https://gcsvt.ru/svetodiodnyie-svetilniki/svt-str-mpro-max-119w-65-duo/","Ссылка")</f>
        <v>Ссылка</v>
      </c>
      <c r="AD649" s="167">
        <v>28455</v>
      </c>
    </row>
    <row r="650" spans="1:30" s="161" customFormat="1" ht="39.950000000000003" hidden="1" customHeight="1" outlineLevel="2" x14ac:dyDescent="0.25">
      <c r="A650" s="171"/>
      <c r="B650" s="21" t="s">
        <v>386</v>
      </c>
      <c r="C650" s="159" t="s">
        <v>465</v>
      </c>
      <c r="D650" s="161">
        <v>35060</v>
      </c>
      <c r="E650" s="161">
        <v>238</v>
      </c>
      <c r="F650" s="161">
        <v>147</v>
      </c>
      <c r="G650" s="161" t="s">
        <v>466</v>
      </c>
      <c r="H650" s="161" t="s">
        <v>63</v>
      </c>
      <c r="I650" s="161">
        <v>67</v>
      </c>
      <c r="J650" s="161" t="s">
        <v>3904</v>
      </c>
      <c r="K650" s="21" t="s">
        <v>106</v>
      </c>
      <c r="L650" s="161" t="s">
        <v>3380</v>
      </c>
      <c r="M650" s="21" t="s">
        <v>235</v>
      </c>
      <c r="N650" s="161" t="s">
        <v>67</v>
      </c>
      <c r="O650" s="21" t="s">
        <v>68</v>
      </c>
      <c r="P650" s="161" t="s">
        <v>109</v>
      </c>
      <c r="Q650" s="21" t="s">
        <v>2288</v>
      </c>
      <c r="R650" s="161">
        <v>70</v>
      </c>
      <c r="S650" s="161" t="s">
        <v>281</v>
      </c>
      <c r="T650" s="161" t="s">
        <v>390</v>
      </c>
      <c r="U650" s="161" t="s">
        <v>73</v>
      </c>
      <c r="V650" s="21" t="s">
        <v>74</v>
      </c>
      <c r="W650" s="21" t="s">
        <v>257</v>
      </c>
      <c r="X650" s="161" t="s">
        <v>460</v>
      </c>
      <c r="Y650" s="161">
        <v>0.02</v>
      </c>
      <c r="Z650" s="161">
        <v>6.5</v>
      </c>
      <c r="AA650" s="161" t="s">
        <v>77</v>
      </c>
      <c r="AB650" s="161" t="s">
        <v>391</v>
      </c>
      <c r="AC650" s="266" t="str">
        <f>HYPERLINK("https://gcsvt.ru/svetodiodnyie-svetilniki/svt-str-mpro-max-119w-45x140-duo/","Ссылка")</f>
        <v>Ссылка</v>
      </c>
      <c r="AD650" s="167">
        <v>28455</v>
      </c>
    </row>
    <row r="651" spans="1:30" s="161" customFormat="1" ht="39.950000000000003" hidden="1" customHeight="1" outlineLevel="2" x14ac:dyDescent="0.25">
      <c r="A651" s="171"/>
      <c r="B651" s="21" t="s">
        <v>386</v>
      </c>
      <c r="C651" s="159" t="s">
        <v>467</v>
      </c>
      <c r="D651" s="161">
        <v>52590</v>
      </c>
      <c r="E651" s="161">
        <v>357</v>
      </c>
      <c r="F651" s="161">
        <v>147</v>
      </c>
      <c r="G651" s="161" t="s">
        <v>468</v>
      </c>
      <c r="H651" s="161" t="s">
        <v>177</v>
      </c>
      <c r="I651" s="161">
        <v>67</v>
      </c>
      <c r="J651" s="161" t="s">
        <v>105</v>
      </c>
      <c r="K651" s="21" t="s">
        <v>106</v>
      </c>
      <c r="L651" s="161" t="s">
        <v>3380</v>
      </c>
      <c r="M651" s="21" t="s">
        <v>235</v>
      </c>
      <c r="N651" s="161" t="s">
        <v>67</v>
      </c>
      <c r="O651" s="21" t="s">
        <v>68</v>
      </c>
      <c r="P651" s="161" t="s">
        <v>109</v>
      </c>
      <c r="Q651" s="21" t="s">
        <v>2288</v>
      </c>
      <c r="R651" s="161">
        <v>70</v>
      </c>
      <c r="S651" s="161" t="s">
        <v>319</v>
      </c>
      <c r="T651" s="161" t="s">
        <v>390</v>
      </c>
      <c r="U651" s="161" t="s">
        <v>73</v>
      </c>
      <c r="V651" s="21" t="s">
        <v>74</v>
      </c>
      <c r="W651" s="21" t="s">
        <v>257</v>
      </c>
      <c r="X651" s="161" t="s">
        <v>469</v>
      </c>
      <c r="Y651" s="161">
        <v>0.03</v>
      </c>
      <c r="Z651" s="161">
        <v>9</v>
      </c>
      <c r="AA651" s="161" t="s">
        <v>77</v>
      </c>
      <c r="AB651" s="161" t="s">
        <v>391</v>
      </c>
      <c r="AC651" s="266" t="str">
        <f>HYPERLINK("https://gcsvt.ru/svetodiodnyie-svetilniki/svt-str-mpro-max-119w-20-trio/","Ссылка")</f>
        <v>Ссылка</v>
      </c>
      <c r="AD651" s="167">
        <v>42682</v>
      </c>
    </row>
    <row r="652" spans="1:30" s="161" customFormat="1" ht="39.950000000000003" hidden="1" customHeight="1" outlineLevel="2" x14ac:dyDescent="0.25">
      <c r="A652" s="171"/>
      <c r="B652" s="21" t="s">
        <v>386</v>
      </c>
      <c r="C652" s="159" t="s">
        <v>470</v>
      </c>
      <c r="D652" s="161">
        <v>52590</v>
      </c>
      <c r="E652" s="161">
        <v>357</v>
      </c>
      <c r="F652" s="161">
        <v>147</v>
      </c>
      <c r="G652" s="161" t="s">
        <v>471</v>
      </c>
      <c r="H652" s="161" t="s">
        <v>180</v>
      </c>
      <c r="I652" s="161">
        <v>67</v>
      </c>
      <c r="J652" s="161" t="s">
        <v>3904</v>
      </c>
      <c r="K652" s="21" t="s">
        <v>106</v>
      </c>
      <c r="L652" s="161" t="s">
        <v>3380</v>
      </c>
      <c r="M652" s="21" t="s">
        <v>235</v>
      </c>
      <c r="N652" s="161" t="s">
        <v>67</v>
      </c>
      <c r="O652" s="21" t="s">
        <v>68</v>
      </c>
      <c r="P652" s="161" t="s">
        <v>109</v>
      </c>
      <c r="Q652" s="21" t="s">
        <v>2288</v>
      </c>
      <c r="R652" s="161">
        <v>70</v>
      </c>
      <c r="S652" s="161" t="s">
        <v>319</v>
      </c>
      <c r="T652" s="161" t="s">
        <v>390</v>
      </c>
      <c r="U652" s="161" t="s">
        <v>73</v>
      </c>
      <c r="V652" s="21" t="s">
        <v>74</v>
      </c>
      <c r="W652" s="21" t="s">
        <v>257</v>
      </c>
      <c r="X652" s="161" t="s">
        <v>469</v>
      </c>
      <c r="Y652" s="161">
        <v>0.03</v>
      </c>
      <c r="Z652" s="161">
        <v>9</v>
      </c>
      <c r="AA652" s="161" t="s">
        <v>77</v>
      </c>
      <c r="AB652" s="161" t="s">
        <v>391</v>
      </c>
      <c r="AC652" s="266" t="str">
        <f>HYPERLINK("https://gcsvt.ru/svetodiodnyie-svetilniki/svt-str-mpro-max-119w-35-trio/","Ссылка")</f>
        <v>Ссылка</v>
      </c>
      <c r="AD652" s="167">
        <v>42682</v>
      </c>
    </row>
    <row r="653" spans="1:30" s="161" customFormat="1" ht="39.950000000000003" hidden="1" customHeight="1" outlineLevel="2" x14ac:dyDescent="0.25">
      <c r="A653" s="171"/>
      <c r="B653" s="21" t="s">
        <v>386</v>
      </c>
      <c r="C653" s="159" t="s">
        <v>472</v>
      </c>
      <c r="D653" s="161">
        <v>52590</v>
      </c>
      <c r="E653" s="161">
        <v>357</v>
      </c>
      <c r="F653" s="161">
        <v>147</v>
      </c>
      <c r="G653" s="161" t="s">
        <v>473</v>
      </c>
      <c r="H653" s="161" t="s">
        <v>183</v>
      </c>
      <c r="I653" s="161">
        <v>67</v>
      </c>
      <c r="J653" s="161" t="s">
        <v>105</v>
      </c>
      <c r="K653" s="21" t="s">
        <v>106</v>
      </c>
      <c r="L653" s="161" t="s">
        <v>3380</v>
      </c>
      <c r="M653" s="21" t="s">
        <v>235</v>
      </c>
      <c r="N653" s="161" t="s">
        <v>67</v>
      </c>
      <c r="O653" s="21" t="s">
        <v>68</v>
      </c>
      <c r="P653" s="161" t="s">
        <v>109</v>
      </c>
      <c r="Q653" s="21" t="s">
        <v>2288</v>
      </c>
      <c r="R653" s="161">
        <v>70</v>
      </c>
      <c r="S653" s="161" t="s">
        <v>319</v>
      </c>
      <c r="T653" s="161" t="s">
        <v>390</v>
      </c>
      <c r="U653" s="161" t="s">
        <v>73</v>
      </c>
      <c r="V653" s="21" t="s">
        <v>74</v>
      </c>
      <c r="W653" s="21" t="s">
        <v>257</v>
      </c>
      <c r="X653" s="161" t="s">
        <v>469</v>
      </c>
      <c r="Y653" s="161">
        <v>0.03</v>
      </c>
      <c r="Z653" s="161">
        <v>9</v>
      </c>
      <c r="AA653" s="161" t="s">
        <v>77</v>
      </c>
      <c r="AB653" s="161" t="s">
        <v>391</v>
      </c>
      <c r="AC653" s="266" t="str">
        <f>HYPERLINK("https://gcsvt.ru/svetodiodnyie-svetilniki/svt-str-mpro-max-119w-65-trio/","Ссылка")</f>
        <v>Ссылка</v>
      </c>
      <c r="AD653" s="167">
        <v>42682</v>
      </c>
    </row>
    <row r="654" spans="1:30" s="161" customFormat="1" ht="39.950000000000003" hidden="1" customHeight="1" outlineLevel="2" x14ac:dyDescent="0.25">
      <c r="A654" s="171"/>
      <c r="B654" s="21" t="s">
        <v>386</v>
      </c>
      <c r="C654" s="159" t="s">
        <v>474</v>
      </c>
      <c r="D654" s="161">
        <v>52590</v>
      </c>
      <c r="E654" s="161">
        <v>357</v>
      </c>
      <c r="F654" s="161">
        <v>147</v>
      </c>
      <c r="G654" s="161" t="s">
        <v>475</v>
      </c>
      <c r="H654" s="161" t="s">
        <v>63</v>
      </c>
      <c r="I654" s="161">
        <v>67</v>
      </c>
      <c r="J654" s="161" t="s">
        <v>3904</v>
      </c>
      <c r="K654" s="21" t="s">
        <v>106</v>
      </c>
      <c r="L654" s="161" t="s">
        <v>3380</v>
      </c>
      <c r="M654" s="21" t="s">
        <v>235</v>
      </c>
      <c r="N654" s="161" t="s">
        <v>67</v>
      </c>
      <c r="O654" s="21" t="s">
        <v>68</v>
      </c>
      <c r="P654" s="161" t="s">
        <v>109</v>
      </c>
      <c r="Q654" s="21" t="s">
        <v>2288</v>
      </c>
      <c r="R654" s="161">
        <v>70</v>
      </c>
      <c r="S654" s="161" t="s">
        <v>319</v>
      </c>
      <c r="T654" s="161" t="s">
        <v>390</v>
      </c>
      <c r="U654" s="161" t="s">
        <v>73</v>
      </c>
      <c r="V654" s="21" t="s">
        <v>74</v>
      </c>
      <c r="W654" s="21" t="s">
        <v>257</v>
      </c>
      <c r="X654" s="161" t="s">
        <v>469</v>
      </c>
      <c r="Y654" s="161">
        <v>0.03</v>
      </c>
      <c r="Z654" s="161">
        <v>9</v>
      </c>
      <c r="AA654" s="161" t="s">
        <v>77</v>
      </c>
      <c r="AB654" s="161" t="s">
        <v>391</v>
      </c>
      <c r="AC654" s="266" t="str">
        <f>HYPERLINK("https://gcsvt.ru/svetodiodnyie-svetilniki/svt-str-mpro-max-119w-45x140-trio","Ссылка")</f>
        <v>Ссылка</v>
      </c>
      <c r="AD654" s="167">
        <v>42682</v>
      </c>
    </row>
    <row r="655" spans="1:30" s="161" customFormat="1" ht="39.950000000000003" hidden="1" customHeight="1" outlineLevel="2" x14ac:dyDescent="0.25">
      <c r="A655" s="171"/>
      <c r="B655" s="21" t="s">
        <v>386</v>
      </c>
      <c r="C655" s="159" t="s">
        <v>476</v>
      </c>
      <c r="D655" s="161">
        <v>46780</v>
      </c>
      <c r="E655" s="161">
        <v>310</v>
      </c>
      <c r="F655" s="161">
        <v>150</v>
      </c>
      <c r="G655" s="161" t="s">
        <v>477</v>
      </c>
      <c r="H655" s="161" t="s">
        <v>177</v>
      </c>
      <c r="I655" s="161">
        <v>67</v>
      </c>
      <c r="J655" s="161" t="s">
        <v>105</v>
      </c>
      <c r="K655" s="21" t="s">
        <v>106</v>
      </c>
      <c r="L655" s="161" t="s">
        <v>3380</v>
      </c>
      <c r="M655" s="21" t="s">
        <v>235</v>
      </c>
      <c r="N655" s="161" t="s">
        <v>67</v>
      </c>
      <c r="O655" s="21" t="s">
        <v>68</v>
      </c>
      <c r="P655" s="161" t="s">
        <v>109</v>
      </c>
      <c r="Q655" s="21" t="s">
        <v>2288</v>
      </c>
      <c r="R655" s="161">
        <v>70</v>
      </c>
      <c r="S655" s="161" t="s">
        <v>300</v>
      </c>
      <c r="T655" s="161" t="s">
        <v>390</v>
      </c>
      <c r="U655" s="161" t="s">
        <v>73</v>
      </c>
      <c r="V655" s="21" t="s">
        <v>74</v>
      </c>
      <c r="W655" s="21" t="s">
        <v>257</v>
      </c>
      <c r="X655" s="161" t="s">
        <v>478</v>
      </c>
      <c r="Y655" s="161">
        <v>0.02</v>
      </c>
      <c r="Z655" s="161">
        <v>8</v>
      </c>
      <c r="AA655" s="161" t="s">
        <v>77</v>
      </c>
      <c r="AB655" s="161" t="s">
        <v>391</v>
      </c>
      <c r="AC655" s="266" t="str">
        <f>HYPERLINK("https://gcsvt.ru/svetodiodnyie-svetilniki/svt-str-mpro-max-155w-20-duo/","Ссылка")</f>
        <v>Ссылка</v>
      </c>
      <c r="AD655" s="167">
        <v>35456</v>
      </c>
    </row>
    <row r="656" spans="1:30" s="161" customFormat="1" ht="39.950000000000003" hidden="1" customHeight="1" outlineLevel="2" x14ac:dyDescent="0.25">
      <c r="A656" s="171"/>
      <c r="B656" s="21" t="s">
        <v>386</v>
      </c>
      <c r="C656" s="159" t="s">
        <v>479</v>
      </c>
      <c r="D656" s="161">
        <v>46780</v>
      </c>
      <c r="E656" s="161">
        <v>310</v>
      </c>
      <c r="F656" s="161">
        <v>150</v>
      </c>
      <c r="G656" s="161" t="s">
        <v>480</v>
      </c>
      <c r="H656" s="161" t="s">
        <v>180</v>
      </c>
      <c r="I656" s="161">
        <v>67</v>
      </c>
      <c r="J656" s="161" t="s">
        <v>3904</v>
      </c>
      <c r="K656" s="21" t="s">
        <v>106</v>
      </c>
      <c r="L656" s="161" t="s">
        <v>3380</v>
      </c>
      <c r="M656" s="21" t="s">
        <v>235</v>
      </c>
      <c r="N656" s="161" t="s">
        <v>67</v>
      </c>
      <c r="O656" s="21" t="s">
        <v>68</v>
      </c>
      <c r="P656" s="161" t="s">
        <v>109</v>
      </c>
      <c r="Q656" s="21" t="s">
        <v>2288</v>
      </c>
      <c r="R656" s="161">
        <v>70</v>
      </c>
      <c r="S656" s="161" t="s">
        <v>300</v>
      </c>
      <c r="T656" s="161" t="s">
        <v>390</v>
      </c>
      <c r="U656" s="161" t="s">
        <v>73</v>
      </c>
      <c r="V656" s="21" t="s">
        <v>74</v>
      </c>
      <c r="W656" s="21" t="s">
        <v>257</v>
      </c>
      <c r="X656" s="161" t="s">
        <v>478</v>
      </c>
      <c r="Y656" s="161">
        <v>0.02</v>
      </c>
      <c r="Z656" s="161">
        <v>8</v>
      </c>
      <c r="AA656" s="161" t="s">
        <v>77</v>
      </c>
      <c r="AB656" s="161" t="s">
        <v>391</v>
      </c>
      <c r="AC656" s="266" t="str">
        <f>HYPERLINK("https://gcsvt.ru/svetodiodnyie-svetilniki/svt-str-mpro-max-155w-35-duo/","Ссылка")</f>
        <v>Ссылка</v>
      </c>
      <c r="AD656" s="167">
        <v>35456</v>
      </c>
    </row>
    <row r="657" spans="1:30" s="161" customFormat="1" ht="39.950000000000003" hidden="1" customHeight="1" outlineLevel="2" x14ac:dyDescent="0.25">
      <c r="A657" s="171"/>
      <c r="B657" s="21" t="s">
        <v>386</v>
      </c>
      <c r="C657" s="159" t="s">
        <v>481</v>
      </c>
      <c r="D657" s="161">
        <v>46780</v>
      </c>
      <c r="E657" s="161">
        <v>310</v>
      </c>
      <c r="F657" s="161">
        <v>150</v>
      </c>
      <c r="G657" s="161" t="s">
        <v>482</v>
      </c>
      <c r="H657" s="161" t="s">
        <v>183</v>
      </c>
      <c r="I657" s="161">
        <v>67</v>
      </c>
      <c r="J657" s="161" t="s">
        <v>105</v>
      </c>
      <c r="K657" s="21" t="s">
        <v>106</v>
      </c>
      <c r="L657" s="161" t="s">
        <v>3380</v>
      </c>
      <c r="M657" s="21" t="s">
        <v>235</v>
      </c>
      <c r="N657" s="161" t="s">
        <v>67</v>
      </c>
      <c r="O657" s="21" t="s">
        <v>68</v>
      </c>
      <c r="P657" s="161" t="s">
        <v>109</v>
      </c>
      <c r="Q657" s="21" t="s">
        <v>2288</v>
      </c>
      <c r="R657" s="161">
        <v>70</v>
      </c>
      <c r="S657" s="161" t="s">
        <v>300</v>
      </c>
      <c r="T657" s="161" t="s">
        <v>390</v>
      </c>
      <c r="U657" s="161" t="s">
        <v>73</v>
      </c>
      <c r="V657" s="21" t="s">
        <v>74</v>
      </c>
      <c r="W657" s="21" t="s">
        <v>257</v>
      </c>
      <c r="X657" s="161" t="s">
        <v>478</v>
      </c>
      <c r="Y657" s="161">
        <v>0.02</v>
      </c>
      <c r="Z657" s="161">
        <v>8</v>
      </c>
      <c r="AA657" s="161" t="s">
        <v>77</v>
      </c>
      <c r="AB657" s="161" t="s">
        <v>391</v>
      </c>
      <c r="AC657" s="266" t="str">
        <f>HYPERLINK("https://gcsvt.ru/svetodiodnyie-svetilniki/svt-str-mpro-max-155w-65-duo/","Ссылка")</f>
        <v>Ссылка</v>
      </c>
      <c r="AD657" s="167">
        <v>35456</v>
      </c>
    </row>
    <row r="658" spans="1:30" s="161" customFormat="1" ht="39.950000000000003" hidden="1" customHeight="1" outlineLevel="2" x14ac:dyDescent="0.25">
      <c r="A658" s="171"/>
      <c r="B658" s="21" t="s">
        <v>386</v>
      </c>
      <c r="C658" s="159" t="s">
        <v>483</v>
      </c>
      <c r="D658" s="161">
        <v>46780</v>
      </c>
      <c r="E658" s="161">
        <v>310</v>
      </c>
      <c r="F658" s="161">
        <v>150</v>
      </c>
      <c r="G658" s="161" t="s">
        <v>484</v>
      </c>
      <c r="H658" s="161" t="s">
        <v>63</v>
      </c>
      <c r="I658" s="161">
        <v>67</v>
      </c>
      <c r="J658" s="161" t="s">
        <v>3904</v>
      </c>
      <c r="K658" s="21" t="s">
        <v>106</v>
      </c>
      <c r="L658" s="161" t="s">
        <v>3380</v>
      </c>
      <c r="M658" s="21" t="s">
        <v>235</v>
      </c>
      <c r="N658" s="161" t="s">
        <v>67</v>
      </c>
      <c r="O658" s="21" t="s">
        <v>68</v>
      </c>
      <c r="P658" s="161" t="s">
        <v>109</v>
      </c>
      <c r="Q658" s="21" t="s">
        <v>2288</v>
      </c>
      <c r="R658" s="161">
        <v>70</v>
      </c>
      <c r="S658" s="161" t="s">
        <v>300</v>
      </c>
      <c r="T658" s="161" t="s">
        <v>390</v>
      </c>
      <c r="U658" s="161" t="s">
        <v>73</v>
      </c>
      <c r="V658" s="21" t="s">
        <v>74</v>
      </c>
      <c r="W658" s="21" t="s">
        <v>257</v>
      </c>
      <c r="X658" s="161" t="s">
        <v>478</v>
      </c>
      <c r="Y658" s="161">
        <v>0.02</v>
      </c>
      <c r="Z658" s="161">
        <v>8</v>
      </c>
      <c r="AA658" s="161" t="s">
        <v>77</v>
      </c>
      <c r="AB658" s="161" t="s">
        <v>391</v>
      </c>
      <c r="AC658" s="266" t="str">
        <f>HYPERLINK("https://gcsvt.ru/svetodiodnyie-svetilniki/svt-str-mpro-max-155w-45x140-duo/","Ссылка")</f>
        <v>Ссылка</v>
      </c>
      <c r="AD658" s="167">
        <v>35456</v>
      </c>
    </row>
    <row r="659" spans="1:30" s="161" customFormat="1" ht="39.950000000000003" hidden="1" customHeight="1" outlineLevel="2" x14ac:dyDescent="0.25">
      <c r="A659" s="171"/>
      <c r="B659" s="21" t="s">
        <v>386</v>
      </c>
      <c r="C659" s="159" t="s">
        <v>485</v>
      </c>
      <c r="D659" s="161">
        <v>70170</v>
      </c>
      <c r="E659" s="161">
        <v>465</v>
      </c>
      <c r="F659" s="161">
        <v>150</v>
      </c>
      <c r="G659" s="161" t="s">
        <v>486</v>
      </c>
      <c r="H659" s="161" t="s">
        <v>177</v>
      </c>
      <c r="I659" s="161">
        <v>67</v>
      </c>
      <c r="J659" s="161" t="s">
        <v>105</v>
      </c>
      <c r="K659" s="21" t="s">
        <v>106</v>
      </c>
      <c r="L659" s="161" t="s">
        <v>3380</v>
      </c>
      <c r="M659" s="21" t="s">
        <v>235</v>
      </c>
      <c r="N659" s="161" t="s">
        <v>67</v>
      </c>
      <c r="O659" s="21" t="s">
        <v>68</v>
      </c>
      <c r="P659" s="161" t="s">
        <v>109</v>
      </c>
      <c r="Q659" s="21" t="s">
        <v>2288</v>
      </c>
      <c r="R659" s="161">
        <v>70</v>
      </c>
      <c r="S659" s="161" t="s">
        <v>338</v>
      </c>
      <c r="T659" s="161" t="s">
        <v>390</v>
      </c>
      <c r="U659" s="161" t="s">
        <v>73</v>
      </c>
      <c r="V659" s="21" t="s">
        <v>74</v>
      </c>
      <c r="W659" s="21" t="s">
        <v>257</v>
      </c>
      <c r="X659" s="161" t="s">
        <v>487</v>
      </c>
      <c r="Y659" s="161">
        <v>0.03</v>
      </c>
      <c r="Z659" s="161">
        <v>11.5</v>
      </c>
      <c r="AA659" s="161" t="s">
        <v>77</v>
      </c>
      <c r="AB659" s="161" t="s">
        <v>391</v>
      </c>
      <c r="AC659" s="266" t="str">
        <f>HYPERLINK("https://gcsvt.ru/svetodiodnyie-svetilniki/svt-str-mpro-max-155w-20-trio/","Ссылка")</f>
        <v>Ссылка</v>
      </c>
      <c r="AD659" s="167">
        <v>53183</v>
      </c>
    </row>
    <row r="660" spans="1:30" s="161" customFormat="1" ht="39.950000000000003" hidden="1" customHeight="1" outlineLevel="2" x14ac:dyDescent="0.25">
      <c r="A660" s="171"/>
      <c r="B660" s="21" t="s">
        <v>386</v>
      </c>
      <c r="C660" s="159" t="s">
        <v>488</v>
      </c>
      <c r="D660" s="161">
        <v>70170</v>
      </c>
      <c r="E660" s="161">
        <v>465</v>
      </c>
      <c r="F660" s="161">
        <v>150</v>
      </c>
      <c r="G660" s="161" t="s">
        <v>489</v>
      </c>
      <c r="H660" s="161" t="s">
        <v>180</v>
      </c>
      <c r="I660" s="161">
        <v>67</v>
      </c>
      <c r="J660" s="161" t="s">
        <v>3904</v>
      </c>
      <c r="K660" s="21" t="s">
        <v>106</v>
      </c>
      <c r="L660" s="161" t="s">
        <v>3380</v>
      </c>
      <c r="M660" s="21" t="s">
        <v>235</v>
      </c>
      <c r="N660" s="161" t="s">
        <v>67</v>
      </c>
      <c r="O660" s="21" t="s">
        <v>68</v>
      </c>
      <c r="P660" s="161" t="s">
        <v>109</v>
      </c>
      <c r="Q660" s="21" t="s">
        <v>2288</v>
      </c>
      <c r="R660" s="161">
        <v>70</v>
      </c>
      <c r="S660" s="161" t="s">
        <v>338</v>
      </c>
      <c r="T660" s="161" t="s">
        <v>390</v>
      </c>
      <c r="U660" s="161" t="s">
        <v>73</v>
      </c>
      <c r="V660" s="21" t="s">
        <v>74</v>
      </c>
      <c r="W660" s="21" t="s">
        <v>257</v>
      </c>
      <c r="X660" s="161" t="s">
        <v>487</v>
      </c>
      <c r="Y660" s="161">
        <v>0.03</v>
      </c>
      <c r="Z660" s="161">
        <v>11.5</v>
      </c>
      <c r="AA660" s="161" t="s">
        <v>77</v>
      </c>
      <c r="AB660" s="161" t="s">
        <v>391</v>
      </c>
      <c r="AC660" s="266" t="str">
        <f>HYPERLINK("https://gcsvt.ru/svetodiodnyie-svetilniki/svt-str-mpro-max-155w-35-trio/","Ссылка")</f>
        <v>Ссылка</v>
      </c>
      <c r="AD660" s="167">
        <v>53183</v>
      </c>
    </row>
    <row r="661" spans="1:30" s="161" customFormat="1" ht="39.950000000000003" hidden="1" customHeight="1" outlineLevel="2" x14ac:dyDescent="0.25">
      <c r="A661" s="171"/>
      <c r="B661" s="21" t="s">
        <v>386</v>
      </c>
      <c r="C661" s="159" t="s">
        <v>490</v>
      </c>
      <c r="D661" s="161">
        <v>70170</v>
      </c>
      <c r="E661" s="161">
        <v>465</v>
      </c>
      <c r="F661" s="161">
        <v>150</v>
      </c>
      <c r="G661" s="161" t="s">
        <v>491</v>
      </c>
      <c r="H661" s="161" t="s">
        <v>183</v>
      </c>
      <c r="I661" s="161">
        <v>67</v>
      </c>
      <c r="J661" s="161" t="s">
        <v>105</v>
      </c>
      <c r="K661" s="21" t="s">
        <v>106</v>
      </c>
      <c r="L661" s="161" t="s">
        <v>3380</v>
      </c>
      <c r="M661" s="21" t="s">
        <v>235</v>
      </c>
      <c r="N661" s="161" t="s">
        <v>67</v>
      </c>
      <c r="O661" s="21" t="s">
        <v>68</v>
      </c>
      <c r="P661" s="161" t="s">
        <v>109</v>
      </c>
      <c r="Q661" s="21" t="s">
        <v>2288</v>
      </c>
      <c r="R661" s="161">
        <v>70</v>
      </c>
      <c r="S661" s="161" t="s">
        <v>338</v>
      </c>
      <c r="T661" s="161" t="s">
        <v>390</v>
      </c>
      <c r="U661" s="161" t="s">
        <v>73</v>
      </c>
      <c r="V661" s="21" t="s">
        <v>74</v>
      </c>
      <c r="W661" s="21" t="s">
        <v>257</v>
      </c>
      <c r="X661" s="161" t="s">
        <v>487</v>
      </c>
      <c r="Y661" s="161">
        <v>0.03</v>
      </c>
      <c r="Z661" s="161">
        <v>11.5</v>
      </c>
      <c r="AA661" s="161" t="s">
        <v>77</v>
      </c>
      <c r="AB661" s="161" t="s">
        <v>391</v>
      </c>
      <c r="AC661" s="266" t="str">
        <f>HYPERLINK("https://gcsvt.ru/svetodiodnyie-svetilniki/svt-str-mpro-max-155w-65-trio/","Ссылка")</f>
        <v>Ссылка</v>
      </c>
      <c r="AD661" s="167">
        <v>53183</v>
      </c>
    </row>
    <row r="662" spans="1:30" s="161" customFormat="1" ht="39.950000000000003" hidden="1" customHeight="1" outlineLevel="2" x14ac:dyDescent="0.25">
      <c r="A662" s="171"/>
      <c r="B662" s="21" t="s">
        <v>386</v>
      </c>
      <c r="C662" s="159" t="s">
        <v>492</v>
      </c>
      <c r="D662" s="161">
        <v>70170</v>
      </c>
      <c r="E662" s="161">
        <v>465</v>
      </c>
      <c r="F662" s="161">
        <v>150</v>
      </c>
      <c r="G662" s="161" t="s">
        <v>493</v>
      </c>
      <c r="H662" s="161" t="s">
        <v>63</v>
      </c>
      <c r="I662" s="161">
        <v>67</v>
      </c>
      <c r="J662" s="161" t="s">
        <v>3904</v>
      </c>
      <c r="K662" s="21" t="s">
        <v>106</v>
      </c>
      <c r="L662" s="161" t="s">
        <v>3380</v>
      </c>
      <c r="M662" s="21" t="s">
        <v>235</v>
      </c>
      <c r="N662" s="161" t="s">
        <v>67</v>
      </c>
      <c r="O662" s="21" t="s">
        <v>68</v>
      </c>
      <c r="P662" s="161" t="s">
        <v>109</v>
      </c>
      <c r="Q662" s="21" t="s">
        <v>2288</v>
      </c>
      <c r="R662" s="161">
        <v>70</v>
      </c>
      <c r="S662" s="161" t="s">
        <v>338</v>
      </c>
      <c r="T662" s="161" t="s">
        <v>390</v>
      </c>
      <c r="U662" s="161" t="s">
        <v>73</v>
      </c>
      <c r="V662" s="21" t="s">
        <v>74</v>
      </c>
      <c r="W662" s="21" t="s">
        <v>257</v>
      </c>
      <c r="X662" s="161" t="s">
        <v>487</v>
      </c>
      <c r="Y662" s="161">
        <v>0.03</v>
      </c>
      <c r="Z662" s="161">
        <v>11.5</v>
      </c>
      <c r="AA662" s="161" t="s">
        <v>77</v>
      </c>
      <c r="AB662" s="161" t="s">
        <v>391</v>
      </c>
      <c r="AC662" s="266" t="str">
        <f>HYPERLINK("https://gcsvt.ru/svetodiodnyie-svetilniki/svt-str-mpro-max-155w-45x140-trio/","Ссылка")</f>
        <v>Ссылка</v>
      </c>
      <c r="AD662" s="167">
        <v>53183</v>
      </c>
    </row>
    <row r="663" spans="1:30" s="161" customFormat="1" ht="39.950000000000003" hidden="1" customHeight="1" outlineLevel="2" x14ac:dyDescent="0.25">
      <c r="A663" s="171"/>
      <c r="B663" s="21" t="s">
        <v>386</v>
      </c>
      <c r="C663" s="159" t="s">
        <v>494</v>
      </c>
      <c r="D663" s="161">
        <v>93560</v>
      </c>
      <c r="E663" s="161">
        <v>620</v>
      </c>
      <c r="F663" s="161">
        <v>150</v>
      </c>
      <c r="G663" s="161" t="s">
        <v>495</v>
      </c>
      <c r="H663" s="161" t="s">
        <v>177</v>
      </c>
      <c r="I663" s="161">
        <v>67</v>
      </c>
      <c r="J663" s="161" t="s">
        <v>105</v>
      </c>
      <c r="K663" s="21" t="s">
        <v>106</v>
      </c>
      <c r="L663" s="161" t="s">
        <v>3380</v>
      </c>
      <c r="M663" s="21" t="s">
        <v>235</v>
      </c>
      <c r="N663" s="161" t="s">
        <v>67</v>
      </c>
      <c r="O663" s="21" t="s">
        <v>68</v>
      </c>
      <c r="P663" s="161" t="s">
        <v>109</v>
      </c>
      <c r="Q663" s="21" t="s">
        <v>2288</v>
      </c>
      <c r="R663" s="161">
        <v>70</v>
      </c>
      <c r="S663" s="161" t="s">
        <v>357</v>
      </c>
      <c r="T663" s="161" t="s">
        <v>390</v>
      </c>
      <c r="U663" s="161" t="s">
        <v>73</v>
      </c>
      <c r="V663" s="21" t="s">
        <v>74</v>
      </c>
      <c r="W663" s="21" t="s">
        <v>257</v>
      </c>
      <c r="X663" s="161" t="s">
        <v>496</v>
      </c>
      <c r="Y663" s="161">
        <v>0.04</v>
      </c>
      <c r="Z663" s="161">
        <v>15</v>
      </c>
      <c r="AA663" s="161" t="s">
        <v>77</v>
      </c>
      <c r="AB663" s="161" t="s">
        <v>391</v>
      </c>
      <c r="AC663" s="266" t="str">
        <f>HYPERLINK("https://gcsvt.ru/svetodiodnyie-svetilniki/svt-str-mpro-max-155w-20-quattro/","Ссылка")</f>
        <v>Ссылка</v>
      </c>
      <c r="AD663" s="167">
        <v>70911</v>
      </c>
    </row>
    <row r="664" spans="1:30" s="161" customFormat="1" ht="39.950000000000003" hidden="1" customHeight="1" outlineLevel="2" x14ac:dyDescent="0.25">
      <c r="A664" s="171"/>
      <c r="B664" s="21" t="s">
        <v>386</v>
      </c>
      <c r="C664" s="159" t="s">
        <v>497</v>
      </c>
      <c r="D664" s="161">
        <v>93560</v>
      </c>
      <c r="E664" s="161">
        <v>620</v>
      </c>
      <c r="F664" s="161">
        <v>150</v>
      </c>
      <c r="G664" s="161" t="s">
        <v>498</v>
      </c>
      <c r="H664" s="161" t="s">
        <v>180</v>
      </c>
      <c r="I664" s="161">
        <v>67</v>
      </c>
      <c r="J664" s="161" t="s">
        <v>3904</v>
      </c>
      <c r="K664" s="21" t="s">
        <v>106</v>
      </c>
      <c r="L664" s="161" t="s">
        <v>3380</v>
      </c>
      <c r="M664" s="21" t="s">
        <v>235</v>
      </c>
      <c r="N664" s="161" t="s">
        <v>67</v>
      </c>
      <c r="O664" s="21" t="s">
        <v>68</v>
      </c>
      <c r="P664" s="161" t="s">
        <v>109</v>
      </c>
      <c r="Q664" s="21" t="s">
        <v>2288</v>
      </c>
      <c r="R664" s="161">
        <v>70</v>
      </c>
      <c r="S664" s="161" t="s">
        <v>357</v>
      </c>
      <c r="T664" s="161" t="s">
        <v>390</v>
      </c>
      <c r="U664" s="161" t="s">
        <v>73</v>
      </c>
      <c r="V664" s="21" t="s">
        <v>74</v>
      </c>
      <c r="W664" s="21" t="s">
        <v>257</v>
      </c>
      <c r="X664" s="161" t="s">
        <v>496</v>
      </c>
      <c r="Y664" s="161">
        <v>0.04</v>
      </c>
      <c r="Z664" s="161">
        <v>15</v>
      </c>
      <c r="AA664" s="161" t="s">
        <v>77</v>
      </c>
      <c r="AB664" s="161" t="s">
        <v>391</v>
      </c>
      <c r="AC664" s="266" t="str">
        <f>HYPERLINK("https://gcsvt.ru/svetodiodnyie-svetilniki/svt-str-mpro-max-155w-35-quattro/","Ссылка")</f>
        <v>Ссылка</v>
      </c>
      <c r="AD664" s="167">
        <v>70911</v>
      </c>
    </row>
    <row r="665" spans="1:30" s="161" customFormat="1" ht="39.950000000000003" hidden="1" customHeight="1" outlineLevel="2" x14ac:dyDescent="0.25">
      <c r="A665" s="171"/>
      <c r="B665" s="21" t="s">
        <v>386</v>
      </c>
      <c r="C665" s="159" t="s">
        <v>499</v>
      </c>
      <c r="D665" s="161">
        <v>93560</v>
      </c>
      <c r="E665" s="161">
        <v>620</v>
      </c>
      <c r="F665" s="161">
        <v>150</v>
      </c>
      <c r="G665" s="161" t="s">
        <v>500</v>
      </c>
      <c r="H665" s="161" t="s">
        <v>183</v>
      </c>
      <c r="I665" s="161">
        <v>67</v>
      </c>
      <c r="J665" s="161" t="s">
        <v>105</v>
      </c>
      <c r="K665" s="21" t="s">
        <v>106</v>
      </c>
      <c r="L665" s="161" t="s">
        <v>3380</v>
      </c>
      <c r="M665" s="21" t="s">
        <v>235</v>
      </c>
      <c r="N665" s="161" t="s">
        <v>67</v>
      </c>
      <c r="O665" s="21" t="s">
        <v>68</v>
      </c>
      <c r="P665" s="161" t="s">
        <v>109</v>
      </c>
      <c r="Q665" s="21" t="s">
        <v>2288</v>
      </c>
      <c r="R665" s="161">
        <v>70</v>
      </c>
      <c r="S665" s="161" t="s">
        <v>357</v>
      </c>
      <c r="T665" s="161" t="s">
        <v>390</v>
      </c>
      <c r="U665" s="161" t="s">
        <v>73</v>
      </c>
      <c r="V665" s="21" t="s">
        <v>74</v>
      </c>
      <c r="W665" s="21" t="s">
        <v>257</v>
      </c>
      <c r="X665" s="161" t="s">
        <v>496</v>
      </c>
      <c r="Y665" s="161">
        <v>0.04</v>
      </c>
      <c r="Z665" s="161">
        <v>15</v>
      </c>
      <c r="AA665" s="161" t="s">
        <v>77</v>
      </c>
      <c r="AB665" s="161" t="s">
        <v>391</v>
      </c>
      <c r="AC665" s="266" t="str">
        <f>HYPERLINK("https://gcsvt.ru/svetodiodnyie-svetilniki/svt-str-mpro-max-155w-65-quattro/","Ссылка")</f>
        <v>Ссылка</v>
      </c>
      <c r="AD665" s="167">
        <v>70911</v>
      </c>
    </row>
    <row r="666" spans="1:30" s="161" customFormat="1" ht="39.950000000000003" hidden="1" customHeight="1" outlineLevel="2" x14ac:dyDescent="0.25">
      <c r="A666" s="171"/>
      <c r="B666" s="21" t="s">
        <v>386</v>
      </c>
      <c r="C666" s="159" t="s">
        <v>501</v>
      </c>
      <c r="D666" s="161">
        <v>93560</v>
      </c>
      <c r="E666" s="161">
        <v>620</v>
      </c>
      <c r="F666" s="161">
        <v>150</v>
      </c>
      <c r="G666" s="161" t="s">
        <v>502</v>
      </c>
      <c r="H666" s="161" t="s">
        <v>63</v>
      </c>
      <c r="I666" s="161">
        <v>67</v>
      </c>
      <c r="J666" s="161" t="s">
        <v>3904</v>
      </c>
      <c r="K666" s="21" t="s">
        <v>106</v>
      </c>
      <c r="L666" s="161" t="s">
        <v>3380</v>
      </c>
      <c r="M666" s="21" t="s">
        <v>235</v>
      </c>
      <c r="N666" s="161" t="s">
        <v>67</v>
      </c>
      <c r="O666" s="21" t="s">
        <v>68</v>
      </c>
      <c r="P666" s="161" t="s">
        <v>109</v>
      </c>
      <c r="Q666" s="21" t="s">
        <v>2288</v>
      </c>
      <c r="R666" s="161">
        <v>70</v>
      </c>
      <c r="S666" s="161" t="s">
        <v>357</v>
      </c>
      <c r="T666" s="161" t="s">
        <v>390</v>
      </c>
      <c r="U666" s="161" t="s">
        <v>73</v>
      </c>
      <c r="V666" s="21" t="s">
        <v>74</v>
      </c>
      <c r="W666" s="21" t="s">
        <v>257</v>
      </c>
      <c r="X666" s="161" t="s">
        <v>496</v>
      </c>
      <c r="Y666" s="161">
        <v>0.04</v>
      </c>
      <c r="Z666" s="161">
        <v>15</v>
      </c>
      <c r="AA666" s="161" t="s">
        <v>77</v>
      </c>
      <c r="AB666" s="161" t="s">
        <v>391</v>
      </c>
      <c r="AC666" s="266" t="str">
        <f>HYPERLINK("https://gcsvt.ru/svetodiodnyie-svetilniki/svt-str-mpro-max-155w-45x140-quattro/","Ссылка")</f>
        <v>Ссылка</v>
      </c>
      <c r="AD666" s="167">
        <v>70911</v>
      </c>
    </row>
    <row r="667" spans="1:30" s="161" customFormat="1" ht="39.950000000000003" hidden="1" customHeight="1" outlineLevel="2" x14ac:dyDescent="0.25">
      <c r="A667" s="171"/>
      <c r="B667" s="47" t="s">
        <v>3230</v>
      </c>
      <c r="C667" s="159"/>
      <c r="K667" s="21"/>
      <c r="M667" s="21"/>
      <c r="O667" s="21"/>
      <c r="Q667" s="21"/>
      <c r="V667" s="21"/>
      <c r="W667" s="21"/>
      <c r="AC667" s="228"/>
      <c r="AD667" s="167"/>
    </row>
    <row r="668" spans="1:30" s="161" customFormat="1" ht="39.950000000000003" hidden="1" customHeight="1" outlineLevel="1" collapsed="1" x14ac:dyDescent="0.25">
      <c r="A668" s="185"/>
      <c r="B668" s="217" t="s">
        <v>1218</v>
      </c>
      <c r="C668" s="221"/>
      <c r="D668" s="150"/>
      <c r="E668" s="150"/>
      <c r="F668" s="150"/>
      <c r="G668" s="150"/>
      <c r="H668" s="150"/>
      <c r="I668" s="150"/>
      <c r="J668" s="150"/>
      <c r="K668" s="171"/>
      <c r="L668" s="150"/>
      <c r="M668" s="171"/>
      <c r="N668" s="150"/>
      <c r="O668" s="171"/>
      <c r="P668" s="150"/>
      <c r="Q668" s="171"/>
      <c r="R668" s="150"/>
      <c r="S668" s="150"/>
      <c r="T668" s="150"/>
      <c r="U668" s="150"/>
      <c r="V668" s="171"/>
      <c r="W668" s="171"/>
      <c r="X668" s="150"/>
      <c r="Y668" s="150"/>
      <c r="Z668" s="150"/>
      <c r="AA668" s="150"/>
      <c r="AB668" s="150"/>
      <c r="AC668" s="230"/>
      <c r="AD668" s="172"/>
    </row>
    <row r="669" spans="1:30" s="161" customFormat="1" ht="39.950000000000003" hidden="1" customHeight="1" outlineLevel="2" x14ac:dyDescent="0.25">
      <c r="A669" s="187"/>
      <c r="B669" s="161" t="s">
        <v>1219</v>
      </c>
      <c r="C669" s="204" t="s">
        <v>3932</v>
      </c>
      <c r="D669" s="173">
        <v>14970</v>
      </c>
      <c r="E669" s="150">
        <v>93</v>
      </c>
      <c r="F669" s="150">
        <v>160</v>
      </c>
      <c r="G669" s="150" t="s">
        <v>3980</v>
      </c>
      <c r="H669" s="150" t="s">
        <v>138</v>
      </c>
      <c r="I669" s="150">
        <v>67</v>
      </c>
      <c r="J669" s="150" t="s">
        <v>105</v>
      </c>
      <c r="K669" s="171" t="s">
        <v>106</v>
      </c>
      <c r="L669" s="150" t="s">
        <v>3380</v>
      </c>
      <c r="M669" s="171" t="s">
        <v>107</v>
      </c>
      <c r="N669" s="150" t="s">
        <v>108</v>
      </c>
      <c r="O669" s="171" t="s">
        <v>139</v>
      </c>
      <c r="P669" s="150" t="s">
        <v>109</v>
      </c>
      <c r="Q669" s="171" t="s">
        <v>70</v>
      </c>
      <c r="R669" s="150">
        <v>80</v>
      </c>
      <c r="S669" s="150" t="s">
        <v>1259</v>
      </c>
      <c r="T669" s="150" t="s">
        <v>141</v>
      </c>
      <c r="U669" s="150" t="s">
        <v>142</v>
      </c>
      <c r="V669" s="171" t="s">
        <v>1223</v>
      </c>
      <c r="W669" s="171" t="s">
        <v>2932</v>
      </c>
      <c r="X669" s="150" t="s">
        <v>3953</v>
      </c>
      <c r="Y669" s="150"/>
      <c r="Z669" s="150"/>
      <c r="AA669" s="150" t="s">
        <v>144</v>
      </c>
      <c r="AB669" s="150" t="s">
        <v>114</v>
      </c>
      <c r="AC669" s="268" t="str">
        <f>HYPERLINK("https://gcsvt.ru/svetodiodnyie-svetilniki/svt-p-flower-mpro-96w-32wx3-tros/","Ссылка")</f>
        <v>Ссылка</v>
      </c>
      <c r="AD669" s="172">
        <v>18046</v>
      </c>
    </row>
    <row r="670" spans="1:30" s="161" customFormat="1" ht="39.950000000000003" hidden="1" customHeight="1" outlineLevel="2" x14ac:dyDescent="0.25">
      <c r="A670" s="187"/>
      <c r="B670" s="161" t="s">
        <v>1219</v>
      </c>
      <c r="C670" s="204" t="s">
        <v>3949</v>
      </c>
      <c r="D670" s="173">
        <v>19960</v>
      </c>
      <c r="E670" s="150">
        <v>124</v>
      </c>
      <c r="F670" s="150">
        <v>160</v>
      </c>
      <c r="G670" s="150" t="s">
        <v>3979</v>
      </c>
      <c r="H670" s="150" t="s">
        <v>138</v>
      </c>
      <c r="I670" s="150">
        <v>67</v>
      </c>
      <c r="J670" s="150" t="s">
        <v>105</v>
      </c>
      <c r="K670" s="171" t="s">
        <v>106</v>
      </c>
      <c r="L670" s="150" t="s">
        <v>3380</v>
      </c>
      <c r="M670" s="171" t="s">
        <v>107</v>
      </c>
      <c r="N670" s="150" t="s">
        <v>108</v>
      </c>
      <c r="O670" s="171" t="s">
        <v>139</v>
      </c>
      <c r="P670" s="150" t="s">
        <v>109</v>
      </c>
      <c r="Q670" s="171" t="s">
        <v>70</v>
      </c>
      <c r="R670" s="150">
        <v>80</v>
      </c>
      <c r="S670" s="150" t="s">
        <v>1259</v>
      </c>
      <c r="T670" s="150" t="s">
        <v>141</v>
      </c>
      <c r="U670" s="150" t="s">
        <v>142</v>
      </c>
      <c r="V670" s="171" t="s">
        <v>1223</v>
      </c>
      <c r="W670" s="171" t="s">
        <v>2932</v>
      </c>
      <c r="X670" s="150" t="s">
        <v>3953</v>
      </c>
      <c r="Y670" s="150"/>
      <c r="Z670" s="150"/>
      <c r="AA670" s="150" t="s">
        <v>144</v>
      </c>
      <c r="AB670" s="150" t="s">
        <v>114</v>
      </c>
      <c r="AC670" s="268" t="str">
        <f>HYPERLINK("https://gcsvt.ru/svetodiodnyie-svetilniki/svt-p-flower-mpro-128w-32wx4-tros/","Ссылка")</f>
        <v>Ссылка</v>
      </c>
      <c r="AD670" s="172">
        <v>22678</v>
      </c>
    </row>
    <row r="671" spans="1:30" s="161" customFormat="1" ht="39.950000000000003" hidden="1" customHeight="1" outlineLevel="2" x14ac:dyDescent="0.25">
      <c r="A671" s="187"/>
      <c r="B671" s="161" t="s">
        <v>1219</v>
      </c>
      <c r="C671" s="204" t="s">
        <v>3933</v>
      </c>
      <c r="D671" s="173">
        <v>29940</v>
      </c>
      <c r="E671" s="150">
        <v>186</v>
      </c>
      <c r="F671" s="150">
        <v>160</v>
      </c>
      <c r="G671" s="150" t="s">
        <v>3978</v>
      </c>
      <c r="H671" s="150" t="s">
        <v>138</v>
      </c>
      <c r="I671" s="150">
        <v>67</v>
      </c>
      <c r="J671" s="150" t="s">
        <v>105</v>
      </c>
      <c r="K671" s="171" t="s">
        <v>106</v>
      </c>
      <c r="L671" s="150" t="s">
        <v>3380</v>
      </c>
      <c r="M671" s="171" t="s">
        <v>107</v>
      </c>
      <c r="N671" s="150" t="s">
        <v>108</v>
      </c>
      <c r="O671" s="171" t="s">
        <v>139</v>
      </c>
      <c r="P671" s="150" t="s">
        <v>109</v>
      </c>
      <c r="Q671" s="171" t="s">
        <v>70</v>
      </c>
      <c r="R671" s="150">
        <v>80</v>
      </c>
      <c r="S671" s="150" t="s">
        <v>3959</v>
      </c>
      <c r="T671" s="150" t="s">
        <v>141</v>
      </c>
      <c r="U671" s="150" t="s">
        <v>142</v>
      </c>
      <c r="V671" s="171" t="s">
        <v>1223</v>
      </c>
      <c r="W671" s="171" t="s">
        <v>2932</v>
      </c>
      <c r="X671" s="150" t="s">
        <v>3953</v>
      </c>
      <c r="Y671" s="150"/>
      <c r="Z671" s="150"/>
      <c r="AA671" s="150" t="s">
        <v>144</v>
      </c>
      <c r="AB671" s="150" t="s">
        <v>114</v>
      </c>
      <c r="AC671" s="268" t="str">
        <f>HYPERLINK("https://gcsvt.ru/svetodiodnyie-svetilniki/svt-p-flower-mpro-192w-32wx6-tros/","Ссылка")</f>
        <v>Ссылка</v>
      </c>
      <c r="AD671" s="172">
        <v>31943</v>
      </c>
    </row>
    <row r="672" spans="1:30" s="161" customFormat="1" ht="39.950000000000003" hidden="1" customHeight="1" outlineLevel="2" x14ac:dyDescent="0.25">
      <c r="A672" s="187"/>
      <c r="B672" s="161" t="s">
        <v>1219</v>
      </c>
      <c r="C672" s="204" t="s">
        <v>3934</v>
      </c>
      <c r="D672" s="173">
        <v>23310</v>
      </c>
      <c r="E672" s="150">
        <v>144</v>
      </c>
      <c r="F672" s="150">
        <v>161</v>
      </c>
      <c r="G672" s="150" t="s">
        <v>3977</v>
      </c>
      <c r="H672" s="150" t="s">
        <v>138</v>
      </c>
      <c r="I672" s="150">
        <v>67</v>
      </c>
      <c r="J672" s="150" t="s">
        <v>105</v>
      </c>
      <c r="K672" s="171" t="s">
        <v>106</v>
      </c>
      <c r="L672" s="150" t="s">
        <v>3380</v>
      </c>
      <c r="M672" s="171" t="s">
        <v>107</v>
      </c>
      <c r="N672" s="150" t="s">
        <v>108</v>
      </c>
      <c r="O672" s="171" t="s">
        <v>139</v>
      </c>
      <c r="P672" s="150" t="s">
        <v>109</v>
      </c>
      <c r="Q672" s="171" t="s">
        <v>70</v>
      </c>
      <c r="R672" s="150">
        <v>80</v>
      </c>
      <c r="S672" s="150" t="s">
        <v>1262</v>
      </c>
      <c r="T672" s="150" t="s">
        <v>141</v>
      </c>
      <c r="U672" s="150" t="s">
        <v>142</v>
      </c>
      <c r="V672" s="171" t="s">
        <v>1223</v>
      </c>
      <c r="W672" s="171" t="s">
        <v>2932</v>
      </c>
      <c r="X672" s="150" t="s">
        <v>3956</v>
      </c>
      <c r="Y672" s="150"/>
      <c r="Z672" s="150"/>
      <c r="AA672" s="150" t="s">
        <v>144</v>
      </c>
      <c r="AB672" s="150" t="s">
        <v>114</v>
      </c>
      <c r="AC672" s="268" t="str">
        <f>HYPERLINK("https://gcsvt.ru/svetodiodnyie-svetilniki/svt-p-flower-mpro-144w-48wx3-tros/","Ссылка")</f>
        <v>Ссылка</v>
      </c>
      <c r="AD672" s="172">
        <v>18777</v>
      </c>
    </row>
    <row r="673" spans="1:30" s="161" customFormat="1" ht="39.950000000000003" hidden="1" customHeight="1" outlineLevel="2" x14ac:dyDescent="0.25">
      <c r="A673" s="187"/>
      <c r="B673" s="161" t="s">
        <v>1219</v>
      </c>
      <c r="C673" s="204" t="s">
        <v>3935</v>
      </c>
      <c r="D673" s="173">
        <v>31080</v>
      </c>
      <c r="E673" s="150">
        <v>192</v>
      </c>
      <c r="F673" s="150">
        <v>161</v>
      </c>
      <c r="G673" s="150" t="s">
        <v>3976</v>
      </c>
      <c r="H673" s="150" t="s">
        <v>138</v>
      </c>
      <c r="I673" s="150">
        <v>67</v>
      </c>
      <c r="J673" s="150" t="s">
        <v>105</v>
      </c>
      <c r="K673" s="171" t="s">
        <v>106</v>
      </c>
      <c r="L673" s="150" t="s">
        <v>3380</v>
      </c>
      <c r="M673" s="171" t="s">
        <v>107</v>
      </c>
      <c r="N673" s="150" t="s">
        <v>108</v>
      </c>
      <c r="O673" s="171" t="s">
        <v>139</v>
      </c>
      <c r="P673" s="150" t="s">
        <v>109</v>
      </c>
      <c r="Q673" s="171" t="s">
        <v>70</v>
      </c>
      <c r="R673" s="150">
        <v>80</v>
      </c>
      <c r="S673" s="150" t="s">
        <v>1254</v>
      </c>
      <c r="T673" s="150" t="s">
        <v>141</v>
      </c>
      <c r="U673" s="150" t="s">
        <v>142</v>
      </c>
      <c r="V673" s="171" t="s">
        <v>1223</v>
      </c>
      <c r="W673" s="171" t="s">
        <v>2932</v>
      </c>
      <c r="X673" s="150" t="s">
        <v>3956</v>
      </c>
      <c r="Y673" s="150"/>
      <c r="Z673" s="150"/>
      <c r="AA673" s="150" t="s">
        <v>144</v>
      </c>
      <c r="AB673" s="150" t="s">
        <v>114</v>
      </c>
      <c r="AC673" s="268" t="str">
        <f>HYPERLINK("https://gcsvt.ru/svetodiodnyie-svetilniki/svt-p-flower-mpro-192w-48wx4-tros/","Ссылка")</f>
        <v>Ссылка</v>
      </c>
      <c r="AD673" s="172">
        <v>23656</v>
      </c>
    </row>
    <row r="674" spans="1:30" s="161" customFormat="1" ht="39.950000000000003" hidden="1" customHeight="1" outlineLevel="2" x14ac:dyDescent="0.25">
      <c r="A674" s="187"/>
      <c r="B674" s="161" t="s">
        <v>1219</v>
      </c>
      <c r="C674" s="204" t="s">
        <v>3936</v>
      </c>
      <c r="D674" s="173">
        <v>46620</v>
      </c>
      <c r="E674" s="150">
        <v>288</v>
      </c>
      <c r="F674" s="150">
        <v>161</v>
      </c>
      <c r="G674" s="150" t="s">
        <v>3975</v>
      </c>
      <c r="H674" s="150" t="s">
        <v>138</v>
      </c>
      <c r="I674" s="150">
        <v>67</v>
      </c>
      <c r="J674" s="150" t="s">
        <v>105</v>
      </c>
      <c r="K674" s="171" t="s">
        <v>106</v>
      </c>
      <c r="L674" s="150" t="s">
        <v>3380</v>
      </c>
      <c r="M674" s="171" t="s">
        <v>107</v>
      </c>
      <c r="N674" s="150" t="s">
        <v>108</v>
      </c>
      <c r="O674" s="171" t="s">
        <v>139</v>
      </c>
      <c r="P674" s="150" t="s">
        <v>109</v>
      </c>
      <c r="Q674" s="171" t="s">
        <v>70</v>
      </c>
      <c r="R674" s="150">
        <v>80</v>
      </c>
      <c r="S674" s="150" t="s">
        <v>1227</v>
      </c>
      <c r="T674" s="150" t="s">
        <v>141</v>
      </c>
      <c r="U674" s="150" t="s">
        <v>142</v>
      </c>
      <c r="V674" s="171" t="s">
        <v>1223</v>
      </c>
      <c r="W674" s="171" t="s">
        <v>2932</v>
      </c>
      <c r="X674" s="150" t="s">
        <v>3956</v>
      </c>
      <c r="Y674" s="150"/>
      <c r="Z674" s="150"/>
      <c r="AA674" s="150" t="s">
        <v>144</v>
      </c>
      <c r="AB674" s="150" t="s">
        <v>114</v>
      </c>
      <c r="AC674" s="268" t="str">
        <f>HYPERLINK("https://gcsvt.ru/svetodiodnyie-svetilniki/svt-p-flower-mpro-288w-48wx6-tros/","Ссылка")</f>
        <v>Ссылка</v>
      </c>
      <c r="AD674" s="172">
        <v>33405</v>
      </c>
    </row>
    <row r="675" spans="1:30" s="161" customFormat="1" ht="39.950000000000003" hidden="1" customHeight="1" outlineLevel="2" x14ac:dyDescent="0.25">
      <c r="A675" s="187"/>
      <c r="B675" s="161" t="s">
        <v>1219</v>
      </c>
      <c r="C675" s="204" t="s">
        <v>3937</v>
      </c>
      <c r="D675" s="173">
        <v>29820</v>
      </c>
      <c r="E675" s="150">
        <v>180</v>
      </c>
      <c r="F675" s="150">
        <v>165</v>
      </c>
      <c r="G675" s="150" t="s">
        <v>3974</v>
      </c>
      <c r="H675" s="150" t="s">
        <v>138</v>
      </c>
      <c r="I675" s="150">
        <v>67</v>
      </c>
      <c r="J675" s="150" t="s">
        <v>105</v>
      </c>
      <c r="K675" s="171" t="s">
        <v>106</v>
      </c>
      <c r="L675" s="150" t="s">
        <v>3380</v>
      </c>
      <c r="M675" s="171" t="s">
        <v>107</v>
      </c>
      <c r="N675" s="150" t="s">
        <v>108</v>
      </c>
      <c r="O675" s="171" t="s">
        <v>139</v>
      </c>
      <c r="P675" s="150" t="s">
        <v>109</v>
      </c>
      <c r="Q675" s="171" t="s">
        <v>70</v>
      </c>
      <c r="R675" s="150">
        <v>80</v>
      </c>
      <c r="S675" s="150" t="s">
        <v>261</v>
      </c>
      <c r="T675" s="150" t="s">
        <v>141</v>
      </c>
      <c r="U675" s="150" t="s">
        <v>142</v>
      </c>
      <c r="V675" s="171" t="s">
        <v>1223</v>
      </c>
      <c r="W675" s="171" t="s">
        <v>2932</v>
      </c>
      <c r="X675" s="150" t="s">
        <v>3957</v>
      </c>
      <c r="Y675" s="150"/>
      <c r="Z675" s="150"/>
      <c r="AA675" s="150" t="s">
        <v>942</v>
      </c>
      <c r="AB675" s="150" t="s">
        <v>114</v>
      </c>
      <c r="AC675" s="268" t="str">
        <f>HYPERLINK("https://gcsvt.ru/svetodiodnyie-svetilniki/svt-p-flower-mpro-183w-61wx3-tros/","Ссылка")</f>
        <v>Ссылка</v>
      </c>
      <c r="AD675" s="172">
        <v>19669</v>
      </c>
    </row>
    <row r="676" spans="1:30" s="161" customFormat="1" ht="39.950000000000003" hidden="1" customHeight="1" outlineLevel="2" x14ac:dyDescent="0.25">
      <c r="A676" s="187"/>
      <c r="B676" s="161" t="s">
        <v>1219</v>
      </c>
      <c r="C676" s="204" t="s">
        <v>3938</v>
      </c>
      <c r="D676" s="173">
        <v>39760</v>
      </c>
      <c r="E676" s="150">
        <v>240</v>
      </c>
      <c r="F676" s="150">
        <v>165</v>
      </c>
      <c r="G676" s="150" t="s">
        <v>3973</v>
      </c>
      <c r="H676" s="150" t="s">
        <v>138</v>
      </c>
      <c r="I676" s="150">
        <v>67</v>
      </c>
      <c r="J676" s="150" t="s">
        <v>105</v>
      </c>
      <c r="K676" s="171" t="s">
        <v>106</v>
      </c>
      <c r="L676" s="150" t="s">
        <v>3380</v>
      </c>
      <c r="M676" s="171" t="s">
        <v>107</v>
      </c>
      <c r="N676" s="150" t="s">
        <v>108</v>
      </c>
      <c r="O676" s="171" t="s">
        <v>139</v>
      </c>
      <c r="P676" s="150" t="s">
        <v>109</v>
      </c>
      <c r="Q676" s="171" t="s">
        <v>70</v>
      </c>
      <c r="R676" s="150">
        <v>80</v>
      </c>
      <c r="S676" s="150" t="s">
        <v>265</v>
      </c>
      <c r="T676" s="150" t="s">
        <v>141</v>
      </c>
      <c r="U676" s="150" t="s">
        <v>142</v>
      </c>
      <c r="V676" s="171" t="s">
        <v>1223</v>
      </c>
      <c r="W676" s="171" t="s">
        <v>2932</v>
      </c>
      <c r="X676" s="150" t="s">
        <v>3957</v>
      </c>
      <c r="Y676" s="150"/>
      <c r="Z676" s="150"/>
      <c r="AA676" s="150" t="s">
        <v>942</v>
      </c>
      <c r="AB676" s="150" t="s">
        <v>114</v>
      </c>
      <c r="AC676" s="268" t="str">
        <f>HYPERLINK("https://gcsvt.ru/svetodiodnyie-svetilniki/svt-p-flower-mpro-244w-61wx4-tros/","Ссылка")</f>
        <v>Ссылка</v>
      </c>
      <c r="AD676" s="172">
        <v>24846</v>
      </c>
    </row>
    <row r="677" spans="1:30" s="161" customFormat="1" ht="39.950000000000003" hidden="1" customHeight="1" outlineLevel="2" x14ac:dyDescent="0.25">
      <c r="A677" s="187"/>
      <c r="B677" s="161" t="s">
        <v>1219</v>
      </c>
      <c r="C677" s="204" t="s">
        <v>3950</v>
      </c>
      <c r="D677" s="173">
        <v>59640</v>
      </c>
      <c r="E677" s="150">
        <v>360</v>
      </c>
      <c r="F677" s="150">
        <v>165</v>
      </c>
      <c r="G677" s="150" t="s">
        <v>3972</v>
      </c>
      <c r="H677" s="150" t="s">
        <v>138</v>
      </c>
      <c r="I677" s="150">
        <v>67</v>
      </c>
      <c r="J677" s="150" t="s">
        <v>105</v>
      </c>
      <c r="K677" s="171" t="s">
        <v>106</v>
      </c>
      <c r="L677" s="150" t="s">
        <v>3380</v>
      </c>
      <c r="M677" s="171" t="s">
        <v>107</v>
      </c>
      <c r="N677" s="150" t="s">
        <v>108</v>
      </c>
      <c r="O677" s="171" t="s">
        <v>139</v>
      </c>
      <c r="P677" s="150" t="s">
        <v>109</v>
      </c>
      <c r="Q677" s="171" t="s">
        <v>70</v>
      </c>
      <c r="R677" s="150">
        <v>80</v>
      </c>
      <c r="S677" s="150" t="s">
        <v>1231</v>
      </c>
      <c r="T677" s="150" t="s">
        <v>141</v>
      </c>
      <c r="U677" s="150" t="s">
        <v>142</v>
      </c>
      <c r="V677" s="171" t="s">
        <v>1223</v>
      </c>
      <c r="W677" s="171" t="s">
        <v>2932</v>
      </c>
      <c r="X677" s="150" t="s">
        <v>3957</v>
      </c>
      <c r="Y677" s="150"/>
      <c r="Z677" s="150"/>
      <c r="AA677" s="150" t="s">
        <v>942</v>
      </c>
      <c r="AB677" s="150" t="s">
        <v>114</v>
      </c>
      <c r="AC677" s="268" t="str">
        <f>HYPERLINK("https://gcsvt.ru/svetodiodnyie-svetilniki/svt-p-flower-mpro-366w-61wx6-tros/","Ссылка")</f>
        <v>Ссылка</v>
      </c>
      <c r="AD677" s="172">
        <v>35190</v>
      </c>
    </row>
    <row r="678" spans="1:30" s="161" customFormat="1" ht="39.950000000000003" hidden="1" customHeight="1" outlineLevel="2" x14ac:dyDescent="0.25">
      <c r="A678" s="187"/>
      <c r="B678" s="161" t="s">
        <v>1219</v>
      </c>
      <c r="C678" s="204" t="s">
        <v>3939</v>
      </c>
      <c r="D678" s="173">
        <v>13041</v>
      </c>
      <c r="E678" s="150">
        <v>81</v>
      </c>
      <c r="F678" s="150">
        <v>161</v>
      </c>
      <c r="G678" s="150" t="s">
        <v>3971</v>
      </c>
      <c r="H678" s="150" t="s">
        <v>3951</v>
      </c>
      <c r="I678" s="150">
        <v>67</v>
      </c>
      <c r="J678" s="150" t="s">
        <v>105</v>
      </c>
      <c r="K678" s="171" t="s">
        <v>106</v>
      </c>
      <c r="L678" s="150" t="s">
        <v>3380</v>
      </c>
      <c r="M678" s="171" t="s">
        <v>107</v>
      </c>
      <c r="N678" s="150" t="s">
        <v>108</v>
      </c>
      <c r="O678" s="171" t="s">
        <v>139</v>
      </c>
      <c r="P678" s="150" t="s">
        <v>109</v>
      </c>
      <c r="Q678" s="171" t="s">
        <v>70</v>
      </c>
      <c r="R678" s="150">
        <v>80</v>
      </c>
      <c r="S678" s="150" t="s">
        <v>1222</v>
      </c>
      <c r="T678" s="150" t="s">
        <v>174</v>
      </c>
      <c r="U678" s="150" t="s">
        <v>142</v>
      </c>
      <c r="V678" s="171" t="s">
        <v>1223</v>
      </c>
      <c r="W678" s="171" t="s">
        <v>2932</v>
      </c>
      <c r="X678" s="150" t="s">
        <v>3954</v>
      </c>
      <c r="Y678" s="150"/>
      <c r="Z678" s="150"/>
      <c r="AA678" s="150" t="s">
        <v>144</v>
      </c>
      <c r="AB678" s="150" t="s">
        <v>114</v>
      </c>
      <c r="AC678" s="268" t="str">
        <f>HYPERLINK("https://gcsvt.ru/svetodiodnyie-svetilniki/svt-p-flower-mpro-81w-35-27wx3-tros/","Ссылка")</f>
        <v>Ссылка</v>
      </c>
      <c r="AD678" s="172">
        <v>21361</v>
      </c>
    </row>
    <row r="679" spans="1:30" s="161" customFormat="1" ht="39.950000000000003" hidden="1" customHeight="1" outlineLevel="2" x14ac:dyDescent="0.25">
      <c r="A679" s="187"/>
      <c r="B679" s="161" t="s">
        <v>1219</v>
      </c>
      <c r="C679" s="204" t="s">
        <v>3940</v>
      </c>
      <c r="D679" s="173">
        <v>13041</v>
      </c>
      <c r="E679" s="150">
        <v>81</v>
      </c>
      <c r="F679" s="150">
        <v>161</v>
      </c>
      <c r="G679" s="150" t="s">
        <v>3970</v>
      </c>
      <c r="H679" s="150" t="s">
        <v>3952</v>
      </c>
      <c r="I679" s="150">
        <v>67</v>
      </c>
      <c r="J679" s="150" t="s">
        <v>105</v>
      </c>
      <c r="K679" s="171" t="s">
        <v>106</v>
      </c>
      <c r="L679" s="150" t="s">
        <v>3380</v>
      </c>
      <c r="M679" s="171" t="s">
        <v>107</v>
      </c>
      <c r="N679" s="150" t="s">
        <v>108</v>
      </c>
      <c r="O679" s="171" t="s">
        <v>139</v>
      </c>
      <c r="P679" s="150" t="s">
        <v>109</v>
      </c>
      <c r="Q679" s="171" t="s">
        <v>70</v>
      </c>
      <c r="R679" s="150">
        <v>80</v>
      </c>
      <c r="S679" s="150" t="s">
        <v>1222</v>
      </c>
      <c r="T679" s="150" t="s">
        <v>174</v>
      </c>
      <c r="U679" s="150" t="s">
        <v>142</v>
      </c>
      <c r="V679" s="171" t="s">
        <v>1223</v>
      </c>
      <c r="W679" s="171" t="s">
        <v>2932</v>
      </c>
      <c r="X679" s="150" t="s">
        <v>3955</v>
      </c>
      <c r="Y679" s="150"/>
      <c r="Z679" s="150"/>
      <c r="AA679" s="150" t="s">
        <v>144</v>
      </c>
      <c r="AB679" s="150" t="s">
        <v>114</v>
      </c>
      <c r="AC679" s="268" t="str">
        <f>HYPERLINK("https://gcsvt.ru/svetodiodnyie-svetilniki/svt-p-flower-mpro-81w-65-27wx3-tros/","Ссылка")</f>
        <v>Ссылка</v>
      </c>
      <c r="AD679" s="172">
        <v>21361</v>
      </c>
    </row>
    <row r="680" spans="1:30" s="161" customFormat="1" ht="39.950000000000003" hidden="1" customHeight="1" outlineLevel="2" x14ac:dyDescent="0.25">
      <c r="A680" s="187"/>
      <c r="B680" s="161" t="s">
        <v>1219</v>
      </c>
      <c r="C680" s="204" t="s">
        <v>3941</v>
      </c>
      <c r="D680" s="173">
        <v>17388</v>
      </c>
      <c r="E680" s="150">
        <v>108</v>
      </c>
      <c r="F680" s="150">
        <v>161</v>
      </c>
      <c r="G680" s="150" t="s">
        <v>3969</v>
      </c>
      <c r="H680" s="150" t="s">
        <v>3951</v>
      </c>
      <c r="I680" s="150">
        <v>67</v>
      </c>
      <c r="J680" s="150" t="s">
        <v>105</v>
      </c>
      <c r="K680" s="171" t="s">
        <v>106</v>
      </c>
      <c r="L680" s="150" t="s">
        <v>3380</v>
      </c>
      <c r="M680" s="171" t="s">
        <v>107</v>
      </c>
      <c r="N680" s="150" t="s">
        <v>108</v>
      </c>
      <c r="O680" s="171" t="s">
        <v>139</v>
      </c>
      <c r="P680" s="150" t="s">
        <v>109</v>
      </c>
      <c r="Q680" s="171" t="s">
        <v>70</v>
      </c>
      <c r="R680" s="150">
        <v>80</v>
      </c>
      <c r="S680" s="150" t="s">
        <v>1222</v>
      </c>
      <c r="T680" s="150" t="s">
        <v>174</v>
      </c>
      <c r="U680" s="150" t="s">
        <v>142</v>
      </c>
      <c r="V680" s="171" t="s">
        <v>1223</v>
      </c>
      <c r="W680" s="171" t="s">
        <v>2932</v>
      </c>
      <c r="X680" s="150" t="s">
        <v>3953</v>
      </c>
      <c r="Y680" s="150"/>
      <c r="Z680" s="150"/>
      <c r="AA680" s="150" t="s">
        <v>144</v>
      </c>
      <c r="AB680" s="150" t="s">
        <v>114</v>
      </c>
      <c r="AC680" s="268" t="str">
        <f>HYPERLINK("https://gcsvt.ru/svetodiodnyie-svetilniki/svt-p-flower-mpro-108w-35-27wx4-tros/","Ссылка")</f>
        <v>Ссылка</v>
      </c>
      <c r="AD680" s="172">
        <v>27098</v>
      </c>
    </row>
    <row r="681" spans="1:30" s="161" customFormat="1" ht="39.950000000000003" hidden="1" customHeight="1" outlineLevel="2" x14ac:dyDescent="0.25">
      <c r="A681" s="187"/>
      <c r="B681" s="161" t="s">
        <v>1219</v>
      </c>
      <c r="C681" s="204" t="s">
        <v>3942</v>
      </c>
      <c r="D681" s="173">
        <v>17388</v>
      </c>
      <c r="E681" s="150">
        <v>108</v>
      </c>
      <c r="F681" s="150">
        <v>161</v>
      </c>
      <c r="G681" s="150" t="s">
        <v>3968</v>
      </c>
      <c r="H681" s="150" t="s">
        <v>3952</v>
      </c>
      <c r="I681" s="150">
        <v>67</v>
      </c>
      <c r="J681" s="150" t="s">
        <v>105</v>
      </c>
      <c r="K681" s="171" t="s">
        <v>106</v>
      </c>
      <c r="L681" s="150" t="s">
        <v>3380</v>
      </c>
      <c r="M681" s="171" t="s">
        <v>107</v>
      </c>
      <c r="N681" s="150" t="s">
        <v>108</v>
      </c>
      <c r="O681" s="171" t="s">
        <v>139</v>
      </c>
      <c r="P681" s="150" t="s">
        <v>109</v>
      </c>
      <c r="Q681" s="171" t="s">
        <v>70</v>
      </c>
      <c r="R681" s="150">
        <v>80</v>
      </c>
      <c r="S681" s="150" t="s">
        <v>1222</v>
      </c>
      <c r="T681" s="150" t="s">
        <v>174</v>
      </c>
      <c r="U681" s="150" t="s">
        <v>142</v>
      </c>
      <c r="V681" s="171" t="s">
        <v>1223</v>
      </c>
      <c r="W681" s="171" t="s">
        <v>2932</v>
      </c>
      <c r="X681" s="150" t="s">
        <v>3953</v>
      </c>
      <c r="Y681" s="150"/>
      <c r="Z681" s="150"/>
      <c r="AA681" s="150" t="s">
        <v>144</v>
      </c>
      <c r="AB681" s="150" t="s">
        <v>114</v>
      </c>
      <c r="AC681" s="268" t="str">
        <f>HYPERLINK("https://gcsvt.ru/svetodiodnyie-svetilniki/svt-p-flower-mpro-108w-65-27wx4-tros/","Ссылка")</f>
        <v>Ссылка</v>
      </c>
      <c r="AD681" s="172">
        <v>27098</v>
      </c>
    </row>
    <row r="682" spans="1:30" s="161" customFormat="1" ht="39.950000000000003" hidden="1" customHeight="1" outlineLevel="2" x14ac:dyDescent="0.25">
      <c r="A682" s="187"/>
      <c r="B682" s="161" t="s">
        <v>1219</v>
      </c>
      <c r="C682" s="204" t="s">
        <v>3943</v>
      </c>
      <c r="D682" s="173">
        <v>26082</v>
      </c>
      <c r="E682" s="150">
        <v>162</v>
      </c>
      <c r="F682" s="150">
        <v>161</v>
      </c>
      <c r="G682" s="150" t="s">
        <v>3967</v>
      </c>
      <c r="H682" s="150" t="s">
        <v>3951</v>
      </c>
      <c r="I682" s="150">
        <v>67</v>
      </c>
      <c r="J682" s="150" t="s">
        <v>105</v>
      </c>
      <c r="K682" s="171" t="s">
        <v>106</v>
      </c>
      <c r="L682" s="150" t="s">
        <v>3380</v>
      </c>
      <c r="M682" s="171" t="s">
        <v>107</v>
      </c>
      <c r="N682" s="150" t="s">
        <v>108</v>
      </c>
      <c r="O682" s="171" t="s">
        <v>139</v>
      </c>
      <c r="P682" s="150" t="s">
        <v>109</v>
      </c>
      <c r="Q682" s="171" t="s">
        <v>70</v>
      </c>
      <c r="R682" s="150">
        <v>80</v>
      </c>
      <c r="S682" s="150" t="s">
        <v>1222</v>
      </c>
      <c r="T682" s="150" t="s">
        <v>174</v>
      </c>
      <c r="U682" s="150" t="s">
        <v>142</v>
      </c>
      <c r="V682" s="171" t="s">
        <v>1223</v>
      </c>
      <c r="W682" s="171" t="s">
        <v>2932</v>
      </c>
      <c r="X682" s="150" t="s">
        <v>3953</v>
      </c>
      <c r="Y682" s="150"/>
      <c r="Z682" s="150"/>
      <c r="AA682" s="150" t="s">
        <v>144</v>
      </c>
      <c r="AB682" s="150" t="s">
        <v>114</v>
      </c>
      <c r="AC682" s="268" t="str">
        <f>HYPERLINK("https://gcsvt.ru/svetodiodnyie-svetilniki/svt-p-flower-mpro-162w-35-27wx6-tros/","Ссылка")</f>
        <v>Ссылка</v>
      </c>
      <c r="AD682" s="172">
        <v>38573</v>
      </c>
    </row>
    <row r="683" spans="1:30" s="161" customFormat="1" ht="39.950000000000003" hidden="1" customHeight="1" outlineLevel="2" x14ac:dyDescent="0.25">
      <c r="A683" s="187"/>
      <c r="B683" s="161" t="s">
        <v>1219</v>
      </c>
      <c r="C683" s="204" t="s">
        <v>3944</v>
      </c>
      <c r="D683" s="173">
        <v>26082</v>
      </c>
      <c r="E683" s="150">
        <v>162</v>
      </c>
      <c r="F683" s="150">
        <v>161</v>
      </c>
      <c r="G683" s="150" t="s">
        <v>3966</v>
      </c>
      <c r="H683" s="150" t="s">
        <v>3952</v>
      </c>
      <c r="I683" s="150">
        <v>67</v>
      </c>
      <c r="J683" s="150" t="s">
        <v>105</v>
      </c>
      <c r="K683" s="171" t="s">
        <v>106</v>
      </c>
      <c r="L683" s="150" t="s">
        <v>3380</v>
      </c>
      <c r="M683" s="171" t="s">
        <v>107</v>
      </c>
      <c r="N683" s="150" t="s">
        <v>108</v>
      </c>
      <c r="O683" s="171" t="s">
        <v>139</v>
      </c>
      <c r="P683" s="150" t="s">
        <v>109</v>
      </c>
      <c r="Q683" s="171" t="s">
        <v>70</v>
      </c>
      <c r="R683" s="150">
        <v>80</v>
      </c>
      <c r="S683" s="150" t="s">
        <v>1222</v>
      </c>
      <c r="T683" s="150" t="s">
        <v>174</v>
      </c>
      <c r="U683" s="150" t="s">
        <v>142</v>
      </c>
      <c r="V683" s="171" t="s">
        <v>1223</v>
      </c>
      <c r="W683" s="171" t="s">
        <v>2932</v>
      </c>
      <c r="X683" s="150" t="s">
        <v>3953</v>
      </c>
      <c r="Y683" s="150"/>
      <c r="Z683" s="150"/>
      <c r="AA683" s="150" t="s">
        <v>144</v>
      </c>
      <c r="AB683" s="150" t="s">
        <v>114</v>
      </c>
      <c r="AC683" s="268" t="str">
        <f>HYPERLINK("https://gcsvt.ru/svetodiodnyie-svetilniki/svt-p-flower-mpro-162w-65-27wx6-tros/","Ссылка")</f>
        <v>Ссылка</v>
      </c>
      <c r="AD683" s="172">
        <v>38573</v>
      </c>
    </row>
    <row r="684" spans="1:30" s="161" customFormat="1" ht="39.950000000000003" hidden="1" customHeight="1" outlineLevel="2" x14ac:dyDescent="0.25">
      <c r="A684" s="187"/>
      <c r="B684" s="161" t="s">
        <v>1219</v>
      </c>
      <c r="C684" s="204" t="s">
        <v>3945</v>
      </c>
      <c r="D684" s="173">
        <v>27096</v>
      </c>
      <c r="E684" s="150">
        <v>156</v>
      </c>
      <c r="F684" s="150">
        <v>173</v>
      </c>
      <c r="G684" s="150" t="s">
        <v>3965</v>
      </c>
      <c r="H684" s="150" t="s">
        <v>3951</v>
      </c>
      <c r="I684" s="150">
        <v>67</v>
      </c>
      <c r="J684" s="150" t="s">
        <v>105</v>
      </c>
      <c r="K684" s="171" t="s">
        <v>106</v>
      </c>
      <c r="L684" s="150" t="s">
        <v>3380</v>
      </c>
      <c r="M684" s="171" t="s">
        <v>107</v>
      </c>
      <c r="N684" s="150" t="s">
        <v>108</v>
      </c>
      <c r="O684" s="171" t="s">
        <v>139</v>
      </c>
      <c r="P684" s="150" t="s">
        <v>109</v>
      </c>
      <c r="Q684" s="171" t="s">
        <v>70</v>
      </c>
      <c r="R684" s="150">
        <v>80</v>
      </c>
      <c r="S684" s="150" t="s">
        <v>1222</v>
      </c>
      <c r="T684" s="150" t="s">
        <v>174</v>
      </c>
      <c r="U684" s="150" t="s">
        <v>142</v>
      </c>
      <c r="V684" s="171" t="s">
        <v>1223</v>
      </c>
      <c r="W684" s="171" t="s">
        <v>2932</v>
      </c>
      <c r="X684" s="150" t="s">
        <v>3958</v>
      </c>
      <c r="Y684" s="150"/>
      <c r="Z684" s="150"/>
      <c r="AA684" s="150" t="s">
        <v>144</v>
      </c>
      <c r="AB684" s="150" t="s">
        <v>114</v>
      </c>
      <c r="AC684" s="268" t="str">
        <f>HYPERLINK("https://gcsvt.ru/svetodiodnyie-svetilniki/svt-p-flower-mpro-159w-35-53wx3-tros/","Ссылка")</f>
        <v>Ссылка</v>
      </c>
      <c r="AD684" s="172">
        <v>27608</v>
      </c>
    </row>
    <row r="685" spans="1:30" s="161" customFormat="1" ht="39.950000000000003" hidden="1" customHeight="1" outlineLevel="2" x14ac:dyDescent="0.25">
      <c r="A685" s="187"/>
      <c r="B685" s="161" t="s">
        <v>1219</v>
      </c>
      <c r="C685" s="204" t="s">
        <v>3946</v>
      </c>
      <c r="D685" s="173">
        <v>27096</v>
      </c>
      <c r="E685" s="150">
        <v>156</v>
      </c>
      <c r="F685" s="150">
        <v>173</v>
      </c>
      <c r="G685" s="150" t="s">
        <v>3961</v>
      </c>
      <c r="H685" s="150" t="s">
        <v>3952</v>
      </c>
      <c r="I685" s="150">
        <v>67</v>
      </c>
      <c r="J685" s="150" t="s">
        <v>105</v>
      </c>
      <c r="K685" s="171" t="s">
        <v>106</v>
      </c>
      <c r="L685" s="150" t="s">
        <v>3380</v>
      </c>
      <c r="M685" s="171" t="s">
        <v>107</v>
      </c>
      <c r="N685" s="150" t="s">
        <v>108</v>
      </c>
      <c r="O685" s="171" t="s">
        <v>139</v>
      </c>
      <c r="P685" s="150" t="s">
        <v>109</v>
      </c>
      <c r="Q685" s="171" t="s">
        <v>70</v>
      </c>
      <c r="R685" s="150">
        <v>80</v>
      </c>
      <c r="S685" s="150" t="s">
        <v>1222</v>
      </c>
      <c r="T685" s="150" t="s">
        <v>174</v>
      </c>
      <c r="U685" s="150" t="s">
        <v>142</v>
      </c>
      <c r="V685" s="171" t="s">
        <v>1223</v>
      </c>
      <c r="W685" s="171" t="s">
        <v>2932</v>
      </c>
      <c r="X685" s="150" t="s">
        <v>3958</v>
      </c>
      <c r="Y685" s="150"/>
      <c r="Z685" s="150"/>
      <c r="AA685" s="150" t="s">
        <v>144</v>
      </c>
      <c r="AB685" s="150" t="s">
        <v>114</v>
      </c>
      <c r="AC685" s="268" t="str">
        <f>HYPERLINK("https://gcsvt.ru/svetodiodnyie-svetilniki/svt-p-flower-mpro-159w-65-53wx3-tros/","Ссылка")</f>
        <v>Ссылка</v>
      </c>
      <c r="AD685" s="172">
        <v>27608</v>
      </c>
    </row>
    <row r="686" spans="1:30" s="161" customFormat="1" ht="39.950000000000003" hidden="1" customHeight="1" outlineLevel="2" x14ac:dyDescent="0.25">
      <c r="A686" s="187"/>
      <c r="B686" s="161" t="s">
        <v>1219</v>
      </c>
      <c r="C686" s="204" t="s">
        <v>3947</v>
      </c>
      <c r="D686" s="173">
        <v>36128</v>
      </c>
      <c r="E686" s="150">
        <v>208</v>
      </c>
      <c r="F686" s="150">
        <v>173</v>
      </c>
      <c r="G686" s="150" t="s">
        <v>3964</v>
      </c>
      <c r="H686" s="150" t="s">
        <v>3951</v>
      </c>
      <c r="I686" s="150">
        <v>67</v>
      </c>
      <c r="J686" s="150" t="s">
        <v>105</v>
      </c>
      <c r="K686" s="171" t="s">
        <v>106</v>
      </c>
      <c r="L686" s="150" t="s">
        <v>3380</v>
      </c>
      <c r="M686" s="171" t="s">
        <v>107</v>
      </c>
      <c r="N686" s="150" t="s">
        <v>108</v>
      </c>
      <c r="O686" s="171" t="s">
        <v>139</v>
      </c>
      <c r="P686" s="150" t="s">
        <v>109</v>
      </c>
      <c r="Q686" s="171" t="s">
        <v>70</v>
      </c>
      <c r="R686" s="150">
        <v>80</v>
      </c>
      <c r="S686" s="150" t="s">
        <v>1222</v>
      </c>
      <c r="T686" s="150" t="s">
        <v>174</v>
      </c>
      <c r="U686" s="150" t="s">
        <v>142</v>
      </c>
      <c r="V686" s="171" t="s">
        <v>1223</v>
      </c>
      <c r="W686" s="171" t="s">
        <v>2932</v>
      </c>
      <c r="X686" s="150" t="s">
        <v>3958</v>
      </c>
      <c r="Y686" s="150"/>
      <c r="Z686" s="150"/>
      <c r="AA686" s="150" t="s">
        <v>144</v>
      </c>
      <c r="AB686" s="150" t="s">
        <v>114</v>
      </c>
      <c r="AC686" s="268" t="str">
        <f>HYPERLINK("https://gcsvt.ru/svetodiodnyie-svetilniki/svt-p-flower-mpro-212w-35-53wx4-tros/","Ссылка")</f>
        <v>Ссылка</v>
      </c>
      <c r="AD686" s="172">
        <v>35428</v>
      </c>
    </row>
    <row r="687" spans="1:30" s="161" customFormat="1" ht="39.950000000000003" hidden="1" customHeight="1" outlineLevel="2" x14ac:dyDescent="0.25">
      <c r="A687" s="187"/>
      <c r="B687" s="161" t="s">
        <v>1219</v>
      </c>
      <c r="C687" s="204" t="s">
        <v>3948</v>
      </c>
      <c r="D687" s="173">
        <v>36128</v>
      </c>
      <c r="E687" s="150">
        <v>208</v>
      </c>
      <c r="F687" s="150">
        <v>173</v>
      </c>
      <c r="G687" s="150" t="s">
        <v>3963</v>
      </c>
      <c r="H687" s="150" t="s">
        <v>3952</v>
      </c>
      <c r="I687" s="150">
        <v>67</v>
      </c>
      <c r="J687" s="150" t="s">
        <v>105</v>
      </c>
      <c r="K687" s="171" t="s">
        <v>106</v>
      </c>
      <c r="L687" s="150" t="s">
        <v>3380</v>
      </c>
      <c r="M687" s="171" t="s">
        <v>107</v>
      </c>
      <c r="N687" s="150" t="s">
        <v>108</v>
      </c>
      <c r="O687" s="171" t="s">
        <v>139</v>
      </c>
      <c r="P687" s="150" t="s">
        <v>109</v>
      </c>
      <c r="Q687" s="171" t="s">
        <v>70</v>
      </c>
      <c r="R687" s="150">
        <v>80</v>
      </c>
      <c r="S687" s="150" t="s">
        <v>1222</v>
      </c>
      <c r="T687" s="150" t="s">
        <v>174</v>
      </c>
      <c r="U687" s="150" t="s">
        <v>142</v>
      </c>
      <c r="V687" s="171" t="s">
        <v>1223</v>
      </c>
      <c r="W687" s="171" t="s">
        <v>2932</v>
      </c>
      <c r="X687" s="150" t="s">
        <v>3958</v>
      </c>
      <c r="Y687" s="150"/>
      <c r="Z687" s="150"/>
      <c r="AA687" s="150" t="s">
        <v>144</v>
      </c>
      <c r="AB687" s="150" t="s">
        <v>114</v>
      </c>
      <c r="AC687" s="268" t="str">
        <f>HYPERLINK("https://gcsvt.ru/svetodiodnyie-svetilniki/svt-p-flower-mpro-212w-65-53wx4-tros/","Ссылка")</f>
        <v>Ссылка</v>
      </c>
      <c r="AD687" s="172">
        <v>35428</v>
      </c>
    </row>
    <row r="688" spans="1:30" s="161" customFormat="1" ht="39.950000000000003" hidden="1" customHeight="1" outlineLevel="2" x14ac:dyDescent="0.25">
      <c r="A688" s="187"/>
      <c r="B688" s="161" t="s">
        <v>1219</v>
      </c>
      <c r="C688" s="204" t="s">
        <v>3982</v>
      </c>
      <c r="D688" s="173">
        <v>54192</v>
      </c>
      <c r="E688" s="150">
        <v>312</v>
      </c>
      <c r="F688" s="150">
        <v>173</v>
      </c>
      <c r="G688" s="150" t="s">
        <v>3962</v>
      </c>
      <c r="H688" s="150" t="s">
        <v>3951</v>
      </c>
      <c r="I688" s="150">
        <v>67</v>
      </c>
      <c r="J688" s="150" t="s">
        <v>105</v>
      </c>
      <c r="K688" s="171" t="s">
        <v>106</v>
      </c>
      <c r="L688" s="150" t="s">
        <v>3380</v>
      </c>
      <c r="M688" s="171" t="s">
        <v>107</v>
      </c>
      <c r="N688" s="150" t="s">
        <v>108</v>
      </c>
      <c r="O688" s="171" t="s">
        <v>139</v>
      </c>
      <c r="P688" s="150" t="s">
        <v>109</v>
      </c>
      <c r="Q688" s="171" t="s">
        <v>70</v>
      </c>
      <c r="R688" s="150">
        <v>80</v>
      </c>
      <c r="S688" s="150" t="s">
        <v>1222</v>
      </c>
      <c r="T688" s="150" t="s">
        <v>174</v>
      </c>
      <c r="U688" s="150" t="s">
        <v>142</v>
      </c>
      <c r="V688" s="171" t="s">
        <v>1223</v>
      </c>
      <c r="W688" s="171" t="s">
        <v>2932</v>
      </c>
      <c r="X688" s="150" t="s">
        <v>3958</v>
      </c>
      <c r="Y688" s="150"/>
      <c r="Z688" s="150"/>
      <c r="AA688" s="150" t="s">
        <v>144</v>
      </c>
      <c r="AB688" s="150" t="s">
        <v>114</v>
      </c>
      <c r="AC688" s="268" t="str">
        <f>HYPERLINK("https://gcsvt.ru/svetodiodnyie-svetilniki/t-p-flower-mpro-318w-35-53wx6-tros/","Ссылка")</f>
        <v>Ссылка</v>
      </c>
      <c r="AD688" s="172">
        <v>51068</v>
      </c>
    </row>
    <row r="689" spans="1:30" s="161" customFormat="1" ht="39.950000000000003" hidden="1" customHeight="1" outlineLevel="2" x14ac:dyDescent="0.25">
      <c r="A689" s="187"/>
      <c r="B689" s="161" t="s">
        <v>1219</v>
      </c>
      <c r="C689" s="204" t="s">
        <v>3983</v>
      </c>
      <c r="D689" s="173">
        <v>54192</v>
      </c>
      <c r="E689" s="150">
        <v>312</v>
      </c>
      <c r="F689" s="150">
        <v>173</v>
      </c>
      <c r="G689" s="150" t="s">
        <v>3960</v>
      </c>
      <c r="H689" s="150" t="s">
        <v>3952</v>
      </c>
      <c r="I689" s="150">
        <v>67</v>
      </c>
      <c r="J689" s="150" t="s">
        <v>105</v>
      </c>
      <c r="K689" s="171" t="s">
        <v>106</v>
      </c>
      <c r="L689" s="150" t="s">
        <v>3380</v>
      </c>
      <c r="M689" s="171" t="s">
        <v>107</v>
      </c>
      <c r="N689" s="150" t="s">
        <v>108</v>
      </c>
      <c r="O689" s="171" t="s">
        <v>139</v>
      </c>
      <c r="P689" s="150" t="s">
        <v>109</v>
      </c>
      <c r="Q689" s="171" t="s">
        <v>70</v>
      </c>
      <c r="R689" s="150">
        <v>80</v>
      </c>
      <c r="S689" s="150" t="s">
        <v>1222</v>
      </c>
      <c r="T689" s="150" t="s">
        <v>174</v>
      </c>
      <c r="U689" s="150" t="s">
        <v>142</v>
      </c>
      <c r="V689" s="171" t="s">
        <v>1223</v>
      </c>
      <c r="W689" s="171" t="s">
        <v>2932</v>
      </c>
      <c r="X689" s="150" t="s">
        <v>3958</v>
      </c>
      <c r="Y689" s="150"/>
      <c r="Z689" s="150"/>
      <c r="AA689" s="150" t="s">
        <v>144</v>
      </c>
      <c r="AB689" s="150" t="s">
        <v>114</v>
      </c>
      <c r="AC689" s="268" t="str">
        <f>HYPERLINK("https://gcsvt.ru/svetodiodnyie-svetilniki/t-p-flower-mpro-318w-65-53wx6-tros/","Ссылка")</f>
        <v>Ссылка</v>
      </c>
      <c r="AD689" s="172">
        <v>51068</v>
      </c>
    </row>
    <row r="690" spans="1:30" s="161" customFormat="1" ht="39.950000000000003" customHeight="1" collapsed="1" x14ac:dyDescent="0.25">
      <c r="A690" s="185"/>
      <c r="B690" s="195" t="s">
        <v>4622</v>
      </c>
      <c r="C690" s="202"/>
      <c r="D690" s="163"/>
      <c r="E690" s="163"/>
      <c r="F690" s="163"/>
      <c r="G690" s="163"/>
      <c r="H690" s="163"/>
      <c r="I690" s="163"/>
      <c r="J690" s="163"/>
      <c r="K690" s="75"/>
      <c r="L690" s="163"/>
      <c r="M690" s="75"/>
      <c r="N690" s="163"/>
      <c r="O690" s="75"/>
      <c r="P690" s="163"/>
      <c r="Q690" s="75"/>
      <c r="R690" s="163"/>
      <c r="S690" s="163"/>
      <c r="T690" s="163"/>
      <c r="U690" s="163"/>
      <c r="V690" s="75"/>
      <c r="W690" s="75"/>
      <c r="X690" s="163"/>
      <c r="Y690" s="163"/>
      <c r="Z690" s="163"/>
      <c r="AA690" s="163"/>
      <c r="AB690" s="163"/>
      <c r="AC690" s="227"/>
      <c r="AD690" s="164"/>
    </row>
    <row r="691" spans="1:30" s="161" customFormat="1" ht="39.950000000000003" hidden="1" customHeight="1" outlineLevel="1" collapsed="1" x14ac:dyDescent="0.25">
      <c r="A691" s="185"/>
      <c r="B691" s="217" t="s">
        <v>4016</v>
      </c>
      <c r="C691" s="218"/>
      <c r="K691" s="21"/>
      <c r="M691" s="21"/>
      <c r="O691" s="21"/>
      <c r="Q691" s="21"/>
      <c r="V691" s="21"/>
      <c r="W691" s="21"/>
      <c r="AC691" s="228"/>
      <c r="AD691" s="167"/>
    </row>
    <row r="692" spans="1:30" s="161" customFormat="1" ht="39.950000000000003" hidden="1" customHeight="1" outlineLevel="2" x14ac:dyDescent="0.25">
      <c r="A692" s="5"/>
      <c r="B692" s="23" t="s">
        <v>565</v>
      </c>
      <c r="C692" s="80" t="s">
        <v>4455</v>
      </c>
      <c r="D692" s="12">
        <v>1290</v>
      </c>
      <c r="E692" s="12">
        <v>9</v>
      </c>
      <c r="F692" s="12">
        <v>143</v>
      </c>
      <c r="G692" s="12" t="s">
        <v>4457</v>
      </c>
      <c r="H692" s="12" t="s">
        <v>138</v>
      </c>
      <c r="I692" s="12">
        <v>67</v>
      </c>
      <c r="J692" s="12" t="s">
        <v>389</v>
      </c>
      <c r="K692" s="21" t="s">
        <v>106</v>
      </c>
      <c r="L692" s="161" t="s">
        <v>3380</v>
      </c>
      <c r="M692" s="21" t="s">
        <v>568</v>
      </c>
      <c r="N692" s="161" t="s">
        <v>108</v>
      </c>
      <c r="O692" s="21" t="s">
        <v>139</v>
      </c>
      <c r="P692" s="161" t="s">
        <v>109</v>
      </c>
      <c r="Q692" s="21" t="s">
        <v>70</v>
      </c>
      <c r="R692" s="161">
        <v>80</v>
      </c>
      <c r="S692" s="12" t="s">
        <v>4459</v>
      </c>
      <c r="T692" s="12" t="s">
        <v>1987</v>
      </c>
      <c r="U692" s="161" t="s">
        <v>73</v>
      </c>
      <c r="V692" s="21" t="s">
        <v>74</v>
      </c>
      <c r="W692" s="21" t="s">
        <v>112</v>
      </c>
      <c r="X692" s="12" t="s">
        <v>4460</v>
      </c>
      <c r="Y692" s="161">
        <v>0.1</v>
      </c>
      <c r="Z692" s="161">
        <v>0.7</v>
      </c>
      <c r="AA692" s="12" t="s">
        <v>77</v>
      </c>
      <c r="AB692" s="12" t="s">
        <v>114</v>
      </c>
      <c r="AC692" s="14" t="str">
        <f>HYPERLINK("https://gcsvt.ru/svetodiodnyie-svetilniki/svt-str-m-10w/","Ссылка")</f>
        <v>Ссылка</v>
      </c>
      <c r="AD692" s="86">
        <v>3205</v>
      </c>
    </row>
    <row r="693" spans="1:30" s="161" customFormat="1" ht="39.950000000000003" hidden="1" customHeight="1" outlineLevel="2" x14ac:dyDescent="0.25">
      <c r="A693" s="5"/>
      <c r="B693" s="23" t="s">
        <v>565</v>
      </c>
      <c r="C693" s="80" t="s">
        <v>4456</v>
      </c>
      <c r="D693" s="12">
        <v>2310</v>
      </c>
      <c r="E693" s="12">
        <v>19</v>
      </c>
      <c r="F693" s="12">
        <v>122</v>
      </c>
      <c r="G693" s="12" t="s">
        <v>4458</v>
      </c>
      <c r="H693" s="12" t="s">
        <v>138</v>
      </c>
      <c r="I693" s="12">
        <v>67</v>
      </c>
      <c r="J693" s="12" t="s">
        <v>389</v>
      </c>
      <c r="K693" s="21" t="s">
        <v>106</v>
      </c>
      <c r="L693" s="161" t="s">
        <v>3380</v>
      </c>
      <c r="M693" s="21" t="s">
        <v>568</v>
      </c>
      <c r="N693" s="161" t="s">
        <v>108</v>
      </c>
      <c r="O693" s="21" t="s">
        <v>139</v>
      </c>
      <c r="P693" s="161" t="s">
        <v>109</v>
      </c>
      <c r="Q693" s="21" t="s">
        <v>70</v>
      </c>
      <c r="R693" s="161">
        <v>80</v>
      </c>
      <c r="S693" s="12" t="s">
        <v>4459</v>
      </c>
      <c r="T693" s="12" t="s">
        <v>1555</v>
      </c>
      <c r="U693" s="161" t="s">
        <v>73</v>
      </c>
      <c r="V693" s="21" t="s">
        <v>74</v>
      </c>
      <c r="W693" s="21" t="s">
        <v>112</v>
      </c>
      <c r="X693" s="12" t="s">
        <v>4460</v>
      </c>
      <c r="Y693" s="161">
        <v>0.1</v>
      </c>
      <c r="Z693" s="161">
        <v>0.7</v>
      </c>
      <c r="AA693" s="12" t="s">
        <v>77</v>
      </c>
      <c r="AB693" s="12" t="s">
        <v>114</v>
      </c>
      <c r="AC693" s="14" t="str">
        <f>HYPERLINK("https://gcsvt.ru/svetodiodnyie-svetilniki/svt-str-m-20w/","Ссылка")</f>
        <v>Ссылка</v>
      </c>
      <c r="AD693" s="86">
        <v>3205</v>
      </c>
    </row>
    <row r="694" spans="1:30" s="161" customFormat="1" ht="39.950000000000003" hidden="1" customHeight="1" outlineLevel="2" x14ac:dyDescent="0.25">
      <c r="B694" s="21" t="s">
        <v>565</v>
      </c>
      <c r="C694" s="159" t="s">
        <v>566</v>
      </c>
      <c r="D694" s="161">
        <v>2500</v>
      </c>
      <c r="E694" s="161">
        <v>16</v>
      </c>
      <c r="F694" s="161">
        <v>156</v>
      </c>
      <c r="G694" s="161" t="s">
        <v>567</v>
      </c>
      <c r="H694" s="161" t="s">
        <v>138</v>
      </c>
      <c r="I694" s="161">
        <v>67</v>
      </c>
      <c r="J694" s="161" t="s">
        <v>105</v>
      </c>
      <c r="K694" s="21" t="s">
        <v>106</v>
      </c>
      <c r="L694" s="161" t="s">
        <v>3380</v>
      </c>
      <c r="M694" s="21" t="s">
        <v>568</v>
      </c>
      <c r="N694" s="161" t="s">
        <v>108</v>
      </c>
      <c r="O694" s="21" t="s">
        <v>139</v>
      </c>
      <c r="P694" s="161" t="s">
        <v>109</v>
      </c>
      <c r="Q694" s="21" t="s">
        <v>70</v>
      </c>
      <c r="R694" s="161">
        <v>80</v>
      </c>
      <c r="S694" s="161" t="s">
        <v>140</v>
      </c>
      <c r="T694" s="161" t="s">
        <v>569</v>
      </c>
      <c r="U694" s="161" t="s">
        <v>142</v>
      </c>
      <c r="V694" s="21" t="s">
        <v>74</v>
      </c>
      <c r="W694" s="21" t="s">
        <v>112</v>
      </c>
      <c r="X694" s="161" t="s">
        <v>570</v>
      </c>
      <c r="Y694" s="161">
        <v>0.1</v>
      </c>
      <c r="Z694" s="161">
        <v>0.8</v>
      </c>
      <c r="AA694" s="161" t="s">
        <v>144</v>
      </c>
      <c r="AB694" s="161" t="s">
        <v>114</v>
      </c>
      <c r="AC694" s="266" t="str">
        <f>HYPERLINK("https://gcsvt.ru/svetodiodnyie-svetilniki/svt-str-m-16w/","Ссылка")</f>
        <v>Ссылка</v>
      </c>
      <c r="AD694" s="167">
        <v>4692</v>
      </c>
    </row>
    <row r="695" spans="1:30" s="161" customFormat="1" ht="39.950000000000003" hidden="1" customHeight="1" outlineLevel="2" x14ac:dyDescent="0.25">
      <c r="B695" s="21" t="s">
        <v>565</v>
      </c>
      <c r="C695" s="159" t="s">
        <v>571</v>
      </c>
      <c r="D695" s="161">
        <v>3620</v>
      </c>
      <c r="E695" s="161">
        <v>24</v>
      </c>
      <c r="F695" s="161">
        <v>150</v>
      </c>
      <c r="G695" s="161" t="s">
        <v>572</v>
      </c>
      <c r="H695" s="161" t="s">
        <v>138</v>
      </c>
      <c r="I695" s="161">
        <v>67</v>
      </c>
      <c r="J695" s="161" t="s">
        <v>105</v>
      </c>
      <c r="K695" s="21" t="s">
        <v>106</v>
      </c>
      <c r="L695" s="161" t="s">
        <v>3380</v>
      </c>
      <c r="M695" s="21" t="s">
        <v>568</v>
      </c>
      <c r="N695" s="161" t="s">
        <v>108</v>
      </c>
      <c r="O695" s="21" t="s">
        <v>139</v>
      </c>
      <c r="P695" s="161" t="s">
        <v>109</v>
      </c>
      <c r="Q695" s="21" t="s">
        <v>70</v>
      </c>
      <c r="R695" s="161">
        <v>80</v>
      </c>
      <c r="S695" s="161" t="s">
        <v>573</v>
      </c>
      <c r="T695" s="161" t="s">
        <v>141</v>
      </c>
      <c r="U695" s="161" t="s">
        <v>142</v>
      </c>
      <c r="V695" s="21" t="s">
        <v>74</v>
      </c>
      <c r="W695" s="21" t="s">
        <v>112</v>
      </c>
      <c r="X695" s="161" t="s">
        <v>570</v>
      </c>
      <c r="Y695" s="161">
        <v>0.1</v>
      </c>
      <c r="Z695" s="161">
        <v>0.8</v>
      </c>
      <c r="AA695" s="161" t="s">
        <v>144</v>
      </c>
      <c r="AB695" s="161" t="s">
        <v>114</v>
      </c>
      <c r="AC695" s="266" t="str">
        <f>HYPERLINK("https://gcsvt.ru/svetodiodnyie-svetilniki/svt-str-m-24w/","Ссылка")</f>
        <v>Ссылка</v>
      </c>
      <c r="AD695" s="167">
        <v>4692</v>
      </c>
    </row>
    <row r="696" spans="1:30" s="161" customFormat="1" ht="39.950000000000003" hidden="1" customHeight="1" outlineLevel="2" x14ac:dyDescent="0.25">
      <c r="B696" s="21" t="s">
        <v>565</v>
      </c>
      <c r="C696" s="159" t="s">
        <v>574</v>
      </c>
      <c r="D696" s="161">
        <v>4840</v>
      </c>
      <c r="E696" s="161">
        <v>32</v>
      </c>
      <c r="F696" s="161">
        <v>151</v>
      </c>
      <c r="G696" s="161" t="s">
        <v>575</v>
      </c>
      <c r="H696" s="161" t="s">
        <v>138</v>
      </c>
      <c r="I696" s="161">
        <v>67</v>
      </c>
      <c r="J696" s="161" t="s">
        <v>105</v>
      </c>
      <c r="K696" s="21" t="s">
        <v>106</v>
      </c>
      <c r="L696" s="161" t="s">
        <v>3380</v>
      </c>
      <c r="M696" s="21" t="s">
        <v>568</v>
      </c>
      <c r="N696" s="161" t="s">
        <v>108</v>
      </c>
      <c r="O696" s="21" t="s">
        <v>139</v>
      </c>
      <c r="P696" s="161" t="s">
        <v>109</v>
      </c>
      <c r="Q696" s="21" t="s">
        <v>70</v>
      </c>
      <c r="R696" s="161">
        <v>80</v>
      </c>
      <c r="S696" s="161" t="s">
        <v>140</v>
      </c>
      <c r="T696" s="161" t="s">
        <v>141</v>
      </c>
      <c r="U696" s="161" t="s">
        <v>142</v>
      </c>
      <c r="V696" s="21" t="s">
        <v>74</v>
      </c>
      <c r="W696" s="21" t="s">
        <v>112</v>
      </c>
      <c r="X696" s="161" t="s">
        <v>570</v>
      </c>
      <c r="Y696" s="161">
        <v>0.1</v>
      </c>
      <c r="Z696" s="161">
        <v>0.8</v>
      </c>
      <c r="AA696" s="161" t="s">
        <v>144</v>
      </c>
      <c r="AB696" s="161" t="s">
        <v>114</v>
      </c>
      <c r="AC696" s="266" t="str">
        <f>HYPERLINK("https://gcsvt.ru/svetodiodnyie-svetilniki/svt-str-m-32w/","Ссылка")</f>
        <v>Ссылка</v>
      </c>
      <c r="AD696" s="167">
        <v>4692</v>
      </c>
    </row>
    <row r="697" spans="1:30" s="161" customFormat="1" ht="39.950000000000003" hidden="1" customHeight="1" outlineLevel="2" x14ac:dyDescent="0.25">
      <c r="B697" s="21" t="s">
        <v>565</v>
      </c>
      <c r="C697" s="159" t="s">
        <v>576</v>
      </c>
      <c r="D697" s="161">
        <v>7630</v>
      </c>
      <c r="E697" s="161">
        <v>48</v>
      </c>
      <c r="F697" s="161">
        <v>158</v>
      </c>
      <c r="G697" s="161" t="s">
        <v>577</v>
      </c>
      <c r="H697" s="161" t="s">
        <v>138</v>
      </c>
      <c r="I697" s="161">
        <v>67</v>
      </c>
      <c r="J697" s="161" t="s">
        <v>105</v>
      </c>
      <c r="K697" s="21" t="s">
        <v>106</v>
      </c>
      <c r="L697" s="161" t="s">
        <v>3380</v>
      </c>
      <c r="M697" s="21" t="s">
        <v>568</v>
      </c>
      <c r="N697" s="161" t="s">
        <v>108</v>
      </c>
      <c r="O697" s="21" t="s">
        <v>139</v>
      </c>
      <c r="P697" s="161" t="s">
        <v>109</v>
      </c>
      <c r="Q697" s="21" t="s">
        <v>70</v>
      </c>
      <c r="R697" s="161">
        <v>80</v>
      </c>
      <c r="S697" s="161" t="s">
        <v>147</v>
      </c>
      <c r="T697" s="161" t="s">
        <v>141</v>
      </c>
      <c r="U697" s="161" t="s">
        <v>142</v>
      </c>
      <c r="V697" s="21" t="s">
        <v>74</v>
      </c>
      <c r="W697" s="21" t="s">
        <v>112</v>
      </c>
      <c r="X697" s="161" t="s">
        <v>578</v>
      </c>
      <c r="Y697" s="161">
        <v>0.1</v>
      </c>
      <c r="Z697" s="161">
        <v>1</v>
      </c>
      <c r="AA697" s="161" t="s">
        <v>144</v>
      </c>
      <c r="AB697" s="161" t="s">
        <v>114</v>
      </c>
      <c r="AC697" s="266" t="str">
        <f>HYPERLINK("https://gcsvt.ru/svetodiodnyie-svetilniki/svt-str-m-48w/","Ссылка")</f>
        <v>Ссылка</v>
      </c>
      <c r="AD697" s="167">
        <v>5549</v>
      </c>
    </row>
    <row r="698" spans="1:30" s="161" customFormat="1" ht="39.950000000000003" hidden="1" customHeight="1" outlineLevel="2" x14ac:dyDescent="0.25">
      <c r="B698" s="21" t="s">
        <v>565</v>
      </c>
      <c r="C698" s="159" t="s">
        <v>579</v>
      </c>
      <c r="D698" s="161">
        <v>9770</v>
      </c>
      <c r="E698" s="161">
        <v>61</v>
      </c>
      <c r="F698" s="161">
        <v>160</v>
      </c>
      <c r="G698" s="161" t="s">
        <v>580</v>
      </c>
      <c r="H698" s="161" t="s">
        <v>138</v>
      </c>
      <c r="I698" s="161">
        <v>67</v>
      </c>
      <c r="J698" s="161" t="s">
        <v>105</v>
      </c>
      <c r="K698" s="21" t="s">
        <v>106</v>
      </c>
      <c r="L698" s="161" t="s">
        <v>3380</v>
      </c>
      <c r="M698" s="21" t="s">
        <v>568</v>
      </c>
      <c r="N698" s="161" t="s">
        <v>108</v>
      </c>
      <c r="O698" s="21" t="s">
        <v>139</v>
      </c>
      <c r="P698" s="161" t="s">
        <v>109</v>
      </c>
      <c r="Q698" s="21" t="s">
        <v>70</v>
      </c>
      <c r="R698" s="161">
        <v>80</v>
      </c>
      <c r="S698" s="161" t="s">
        <v>151</v>
      </c>
      <c r="T698" s="161" t="s">
        <v>141</v>
      </c>
      <c r="U698" s="161" t="s">
        <v>73</v>
      </c>
      <c r="V698" s="21" t="s">
        <v>74</v>
      </c>
      <c r="W698" s="21" t="s">
        <v>112</v>
      </c>
      <c r="X698" s="161" t="s">
        <v>581</v>
      </c>
      <c r="Y698" s="161">
        <v>0.1</v>
      </c>
      <c r="Z698" s="161">
        <v>1.1000000000000001</v>
      </c>
      <c r="AA698" s="161" t="s">
        <v>77</v>
      </c>
      <c r="AB698" s="161" t="s">
        <v>114</v>
      </c>
      <c r="AC698" s="266" t="str">
        <f>HYPERLINK("https://gcsvt.ru/svetodiodnyie-svetilniki/svt-str-m-61w/","Ссылка")</f>
        <v>Ссылка</v>
      </c>
      <c r="AD698" s="167">
        <v>6120</v>
      </c>
    </row>
    <row r="699" spans="1:30" s="161" customFormat="1" ht="39.950000000000003" hidden="1" customHeight="1" outlineLevel="2" x14ac:dyDescent="0.25">
      <c r="B699" s="21" t="s">
        <v>565</v>
      </c>
      <c r="C699" s="159" t="s">
        <v>582</v>
      </c>
      <c r="D699" s="161">
        <v>2500</v>
      </c>
      <c r="E699" s="161">
        <v>16</v>
      </c>
      <c r="F699" s="161">
        <v>156</v>
      </c>
      <c r="G699" s="161" t="s">
        <v>583</v>
      </c>
      <c r="H699" s="161" t="s">
        <v>138</v>
      </c>
      <c r="I699" s="161">
        <v>67</v>
      </c>
      <c r="J699" s="161" t="s">
        <v>105</v>
      </c>
      <c r="K699" s="21" t="s">
        <v>106</v>
      </c>
      <c r="L699" s="161" t="s">
        <v>3380</v>
      </c>
      <c r="M699" s="21" t="s">
        <v>107</v>
      </c>
      <c r="N699" s="161" t="s">
        <v>108</v>
      </c>
      <c r="O699" s="21" t="s">
        <v>139</v>
      </c>
      <c r="P699" s="161" t="s">
        <v>109</v>
      </c>
      <c r="Q699" s="21" t="s">
        <v>70</v>
      </c>
      <c r="R699" s="161">
        <v>80</v>
      </c>
      <c r="S699" s="161" t="s">
        <v>140</v>
      </c>
      <c r="T699" s="161" t="s">
        <v>569</v>
      </c>
      <c r="U699" s="161" t="s">
        <v>142</v>
      </c>
      <c r="V699" s="21" t="s">
        <v>74</v>
      </c>
      <c r="W699" s="21" t="s">
        <v>112</v>
      </c>
      <c r="X699" s="161" t="s">
        <v>570</v>
      </c>
      <c r="Y699" s="161">
        <v>0.1</v>
      </c>
      <c r="Z699" s="161">
        <v>0.8</v>
      </c>
      <c r="AA699" s="161" t="s">
        <v>144</v>
      </c>
      <c r="AB699" s="161" t="s">
        <v>114</v>
      </c>
      <c r="AC699" s="266" t="str">
        <f>HYPERLINK("https://gcsvt.ru/svetodiodnyie-svetilniki/svt-str-m-16w-s-zashchitoy-ot-380/","Ссылка")</f>
        <v>Ссылка</v>
      </c>
      <c r="AD699" s="167">
        <v>5672</v>
      </c>
    </row>
    <row r="700" spans="1:30" s="161" customFormat="1" ht="39.950000000000003" hidden="1" customHeight="1" outlineLevel="2" x14ac:dyDescent="0.25">
      <c r="B700" s="21" t="s">
        <v>565</v>
      </c>
      <c r="C700" s="159" t="s">
        <v>584</v>
      </c>
      <c r="D700" s="161">
        <v>3620</v>
      </c>
      <c r="E700" s="161">
        <v>24</v>
      </c>
      <c r="F700" s="161">
        <v>150</v>
      </c>
      <c r="G700" s="161" t="s">
        <v>585</v>
      </c>
      <c r="H700" s="161" t="s">
        <v>138</v>
      </c>
      <c r="I700" s="161">
        <v>67</v>
      </c>
      <c r="J700" s="161" t="s">
        <v>105</v>
      </c>
      <c r="K700" s="21" t="s">
        <v>106</v>
      </c>
      <c r="L700" s="161" t="s">
        <v>3380</v>
      </c>
      <c r="M700" s="21" t="s">
        <v>107</v>
      </c>
      <c r="N700" s="161" t="s">
        <v>108</v>
      </c>
      <c r="O700" s="21" t="s">
        <v>139</v>
      </c>
      <c r="P700" s="161" t="s">
        <v>109</v>
      </c>
      <c r="Q700" s="21" t="s">
        <v>70</v>
      </c>
      <c r="R700" s="161">
        <v>80</v>
      </c>
      <c r="S700" s="161" t="s">
        <v>573</v>
      </c>
      <c r="T700" s="161" t="s">
        <v>141</v>
      </c>
      <c r="U700" s="161" t="s">
        <v>142</v>
      </c>
      <c r="V700" s="21" t="s">
        <v>74</v>
      </c>
      <c r="W700" s="21" t="s">
        <v>112</v>
      </c>
      <c r="X700" s="161" t="s">
        <v>570</v>
      </c>
      <c r="Y700" s="161">
        <v>0.1</v>
      </c>
      <c r="Z700" s="161">
        <v>0.8</v>
      </c>
      <c r="AA700" s="161" t="s">
        <v>144</v>
      </c>
      <c r="AB700" s="161" t="s">
        <v>114</v>
      </c>
      <c r="AC700" s="266" t="str">
        <f>HYPERLINK("https://gcsvt.ru/svetodiodnyie-svetilniki/svt-str-m-24w-s-zashchitoy-ot-380/","Ссылка")</f>
        <v>Ссылка</v>
      </c>
      <c r="AD700" s="167">
        <v>5672</v>
      </c>
    </row>
    <row r="701" spans="1:30" s="161" customFormat="1" ht="39.950000000000003" hidden="1" customHeight="1" outlineLevel="2" x14ac:dyDescent="0.25">
      <c r="A701" s="21"/>
      <c r="B701" s="21" t="s">
        <v>565</v>
      </c>
      <c r="C701" s="159" t="s">
        <v>586</v>
      </c>
      <c r="D701" s="161">
        <v>4840</v>
      </c>
      <c r="E701" s="161">
        <v>32</v>
      </c>
      <c r="F701" s="161">
        <v>151</v>
      </c>
      <c r="G701" s="161" t="s">
        <v>587</v>
      </c>
      <c r="H701" s="161" t="s">
        <v>138</v>
      </c>
      <c r="I701" s="161">
        <v>67</v>
      </c>
      <c r="J701" s="161" t="s">
        <v>105</v>
      </c>
      <c r="K701" s="21" t="s">
        <v>106</v>
      </c>
      <c r="L701" s="161" t="s">
        <v>3380</v>
      </c>
      <c r="M701" s="21" t="s">
        <v>107</v>
      </c>
      <c r="N701" s="161" t="s">
        <v>108</v>
      </c>
      <c r="O701" s="21" t="s">
        <v>139</v>
      </c>
      <c r="P701" s="161" t="s">
        <v>109</v>
      </c>
      <c r="Q701" s="21" t="s">
        <v>70</v>
      </c>
      <c r="R701" s="161">
        <v>80</v>
      </c>
      <c r="S701" s="161" t="s">
        <v>140</v>
      </c>
      <c r="T701" s="161" t="s">
        <v>141</v>
      </c>
      <c r="U701" s="161" t="s">
        <v>142</v>
      </c>
      <c r="V701" s="21" t="s">
        <v>74</v>
      </c>
      <c r="W701" s="21" t="s">
        <v>112</v>
      </c>
      <c r="X701" s="161" t="s">
        <v>570</v>
      </c>
      <c r="Y701" s="161">
        <v>0.1</v>
      </c>
      <c r="Z701" s="161">
        <v>0.8</v>
      </c>
      <c r="AA701" s="161" t="s">
        <v>144</v>
      </c>
      <c r="AB701" s="161" t="s">
        <v>114</v>
      </c>
      <c r="AC701" s="266" t="str">
        <f>HYPERLINK("https://gcsvt.ru/svetodiodnyie-svetilniki/svt-str-m-32w-s-zashchitoy-ot-380/","Ссылка")</f>
        <v>Ссылка</v>
      </c>
      <c r="AD701" s="167">
        <v>5672</v>
      </c>
    </row>
    <row r="702" spans="1:30" s="161" customFormat="1" ht="39.950000000000003" hidden="1" customHeight="1" outlineLevel="2" x14ac:dyDescent="0.25">
      <c r="A702" s="21"/>
      <c r="B702" s="21" t="s">
        <v>565</v>
      </c>
      <c r="C702" s="159" t="s">
        <v>588</v>
      </c>
      <c r="D702" s="161">
        <v>7630</v>
      </c>
      <c r="E702" s="161">
        <v>48</v>
      </c>
      <c r="F702" s="161">
        <v>158</v>
      </c>
      <c r="G702" s="161" t="s">
        <v>589</v>
      </c>
      <c r="H702" s="161" t="s">
        <v>138</v>
      </c>
      <c r="I702" s="161">
        <v>67</v>
      </c>
      <c r="J702" s="161" t="s">
        <v>105</v>
      </c>
      <c r="K702" s="21" t="s">
        <v>106</v>
      </c>
      <c r="L702" s="161" t="s">
        <v>3380</v>
      </c>
      <c r="M702" s="21" t="s">
        <v>107</v>
      </c>
      <c r="N702" s="161" t="s">
        <v>108</v>
      </c>
      <c r="O702" s="21" t="s">
        <v>139</v>
      </c>
      <c r="P702" s="161" t="s">
        <v>109</v>
      </c>
      <c r="Q702" s="21" t="s">
        <v>70</v>
      </c>
      <c r="R702" s="161">
        <v>80</v>
      </c>
      <c r="S702" s="161" t="s">
        <v>147</v>
      </c>
      <c r="T702" s="161" t="s">
        <v>141</v>
      </c>
      <c r="U702" s="161" t="s">
        <v>142</v>
      </c>
      <c r="V702" s="21" t="s">
        <v>74</v>
      </c>
      <c r="W702" s="21" t="s">
        <v>112</v>
      </c>
      <c r="X702" s="161" t="s">
        <v>578</v>
      </c>
      <c r="Y702" s="161">
        <v>0.1</v>
      </c>
      <c r="Z702" s="161">
        <v>1</v>
      </c>
      <c r="AA702" s="161" t="s">
        <v>144</v>
      </c>
      <c r="AB702" s="161" t="s">
        <v>114</v>
      </c>
      <c r="AC702" s="266" t="str">
        <f>HYPERLINK("https://gcsvt.ru/svetodiodnyie-svetilniki/svt-str-m-48w-s-zashchitoy-ot-380/","Ссылка")</f>
        <v>Ссылка</v>
      </c>
      <c r="AD702" s="167">
        <v>5916</v>
      </c>
    </row>
    <row r="703" spans="1:30" s="161" customFormat="1" ht="39.950000000000003" hidden="1" customHeight="1" outlineLevel="2" x14ac:dyDescent="0.25">
      <c r="A703" s="21"/>
      <c r="B703" s="21" t="s">
        <v>565</v>
      </c>
      <c r="C703" s="159" t="s">
        <v>590</v>
      </c>
      <c r="D703" s="161">
        <v>9770</v>
      </c>
      <c r="E703" s="161">
        <v>61</v>
      </c>
      <c r="F703" s="161">
        <v>160</v>
      </c>
      <c r="G703" s="161" t="s">
        <v>591</v>
      </c>
      <c r="H703" s="161" t="s">
        <v>138</v>
      </c>
      <c r="I703" s="161">
        <v>67</v>
      </c>
      <c r="J703" s="161" t="s">
        <v>105</v>
      </c>
      <c r="K703" s="21" t="s">
        <v>106</v>
      </c>
      <c r="L703" s="161" t="s">
        <v>3380</v>
      </c>
      <c r="M703" s="21" t="s">
        <v>107</v>
      </c>
      <c r="N703" s="161" t="s">
        <v>108</v>
      </c>
      <c r="O703" s="21" t="s">
        <v>139</v>
      </c>
      <c r="P703" s="161" t="s">
        <v>109</v>
      </c>
      <c r="Q703" s="21" t="s">
        <v>70</v>
      </c>
      <c r="R703" s="161">
        <v>80</v>
      </c>
      <c r="S703" s="161" t="s">
        <v>151</v>
      </c>
      <c r="T703" s="161" t="s">
        <v>141</v>
      </c>
      <c r="U703" s="161" t="s">
        <v>73</v>
      </c>
      <c r="V703" s="21" t="s">
        <v>74</v>
      </c>
      <c r="W703" s="21" t="s">
        <v>112</v>
      </c>
      <c r="X703" s="161" t="s">
        <v>581</v>
      </c>
      <c r="Y703" s="161">
        <v>0.1</v>
      </c>
      <c r="Z703" s="161">
        <v>1.1000000000000001</v>
      </c>
      <c r="AA703" s="161" t="s">
        <v>77</v>
      </c>
      <c r="AB703" s="161" t="s">
        <v>114</v>
      </c>
      <c r="AC703" s="266" t="str">
        <f>HYPERLINK("https://gcsvt.ru/svetodiodnyie-svetilniki/svt-str-m-61w-s-zashchitoy-ot-380/","Ссылка")</f>
        <v>Ссылка</v>
      </c>
      <c r="AD703" s="167">
        <v>6630</v>
      </c>
    </row>
    <row r="704" spans="1:30" s="161" customFormat="1" ht="39.950000000000003" hidden="1" customHeight="1" outlineLevel="2" x14ac:dyDescent="0.25">
      <c r="A704" s="21"/>
      <c r="B704" s="21" t="s">
        <v>565</v>
      </c>
      <c r="C704" s="159" t="s">
        <v>592</v>
      </c>
      <c r="D704" s="161">
        <v>12470</v>
      </c>
      <c r="E704" s="161">
        <v>80</v>
      </c>
      <c r="F704" s="161">
        <v>155</v>
      </c>
      <c r="G704" s="161" t="s">
        <v>593</v>
      </c>
      <c r="H704" s="161" t="s">
        <v>138</v>
      </c>
      <c r="I704" s="161">
        <v>67</v>
      </c>
      <c r="J704" s="161" t="s">
        <v>105</v>
      </c>
      <c r="K704" s="21" t="s">
        <v>106</v>
      </c>
      <c r="L704" s="161" t="s">
        <v>3380</v>
      </c>
      <c r="M704" s="21" t="s">
        <v>157</v>
      </c>
      <c r="N704" s="161" t="s">
        <v>67</v>
      </c>
      <c r="O704" s="21" t="s">
        <v>139</v>
      </c>
      <c r="P704" s="161" t="s">
        <v>109</v>
      </c>
      <c r="Q704" s="21" t="s">
        <v>70</v>
      </c>
      <c r="R704" s="161">
        <v>80</v>
      </c>
      <c r="S704" s="161" t="s">
        <v>594</v>
      </c>
      <c r="T704" s="161" t="s">
        <v>141</v>
      </c>
      <c r="U704" s="161" t="s">
        <v>73</v>
      </c>
      <c r="V704" s="21" t="s">
        <v>74</v>
      </c>
      <c r="W704" s="21" t="s">
        <v>112</v>
      </c>
      <c r="X704" s="161" t="s">
        <v>2834</v>
      </c>
      <c r="Y704" s="161">
        <v>0.1</v>
      </c>
      <c r="Z704" s="161">
        <v>1.8</v>
      </c>
      <c r="AA704" s="161" t="s">
        <v>77</v>
      </c>
      <c r="AB704" s="161" t="s">
        <v>114</v>
      </c>
      <c r="AC704" s="266" t="str">
        <f>HYPERLINK("https://gcsvt.ru/svetodiodnyie-svetilniki/svt-str-m-80w/","Ссылка")</f>
        <v>Ссылка</v>
      </c>
      <c r="AD704" s="167">
        <v>9690</v>
      </c>
    </row>
    <row r="705" spans="1:30" s="161" customFormat="1" ht="39.950000000000003" hidden="1" customHeight="1" outlineLevel="2" x14ac:dyDescent="0.25">
      <c r="B705" s="21" t="s">
        <v>565</v>
      </c>
      <c r="C705" s="159" t="s">
        <v>596</v>
      </c>
      <c r="D705" s="161">
        <v>14240</v>
      </c>
      <c r="E705" s="161">
        <v>96</v>
      </c>
      <c r="F705" s="161">
        <v>148</v>
      </c>
      <c r="G705" s="161" t="s">
        <v>597</v>
      </c>
      <c r="H705" s="161" t="s">
        <v>138</v>
      </c>
      <c r="I705" s="161">
        <v>67</v>
      </c>
      <c r="J705" s="161" t="s">
        <v>105</v>
      </c>
      <c r="K705" s="21" t="s">
        <v>106</v>
      </c>
      <c r="L705" s="161" t="s">
        <v>3380</v>
      </c>
      <c r="M705" s="21" t="s">
        <v>157</v>
      </c>
      <c r="N705" s="161" t="s">
        <v>67</v>
      </c>
      <c r="O705" s="21" t="s">
        <v>139</v>
      </c>
      <c r="P705" s="161" t="s">
        <v>109</v>
      </c>
      <c r="Q705" s="21" t="s">
        <v>70</v>
      </c>
      <c r="R705" s="161">
        <v>80</v>
      </c>
      <c r="S705" s="161" t="s">
        <v>155</v>
      </c>
      <c r="T705" s="161" t="s">
        <v>141</v>
      </c>
      <c r="U705" s="161" t="s">
        <v>73</v>
      </c>
      <c r="V705" s="21" t="s">
        <v>74</v>
      </c>
      <c r="W705" s="21" t="s">
        <v>112</v>
      </c>
      <c r="X705" s="161" t="s">
        <v>598</v>
      </c>
      <c r="Y705" s="161">
        <v>0.1</v>
      </c>
      <c r="Z705" s="161">
        <v>1.9</v>
      </c>
      <c r="AA705" s="161" t="s">
        <v>77</v>
      </c>
      <c r="AB705" s="161" t="s">
        <v>114</v>
      </c>
      <c r="AC705" s="266" t="str">
        <f>HYPERLINK("https://gcsvt.ru/svetodiodnyie-svetilniki/svt-str-m-96w/","Ссылка")</f>
        <v>Ссылка</v>
      </c>
      <c r="AD705" s="167">
        <v>9996</v>
      </c>
    </row>
    <row r="706" spans="1:30" s="161" customFormat="1" ht="39.950000000000003" hidden="1" customHeight="1" outlineLevel="2" x14ac:dyDescent="0.25">
      <c r="B706" s="21" t="s">
        <v>565</v>
      </c>
      <c r="C706" s="159" t="s">
        <v>601</v>
      </c>
      <c r="D706" s="161">
        <v>2500</v>
      </c>
      <c r="E706" s="161">
        <v>16</v>
      </c>
      <c r="F706" s="161">
        <v>156</v>
      </c>
      <c r="G706" s="161" t="s">
        <v>602</v>
      </c>
      <c r="H706" s="161" t="s">
        <v>138</v>
      </c>
      <c r="I706" s="161">
        <v>67</v>
      </c>
      <c r="J706" s="161" t="s">
        <v>105</v>
      </c>
      <c r="K706" s="21" t="s">
        <v>106</v>
      </c>
      <c r="L706" s="161" t="s">
        <v>3380</v>
      </c>
      <c r="M706" s="21" t="s">
        <v>568</v>
      </c>
      <c r="N706" s="161" t="s">
        <v>108</v>
      </c>
      <c r="O706" s="21" t="s">
        <v>139</v>
      </c>
      <c r="P706" s="161" t="s">
        <v>109</v>
      </c>
      <c r="Q706" s="21" t="s">
        <v>70</v>
      </c>
      <c r="R706" s="161">
        <v>80</v>
      </c>
      <c r="S706" s="161" t="s">
        <v>140</v>
      </c>
      <c r="T706" s="161" t="s">
        <v>569</v>
      </c>
      <c r="U706" s="161" t="s">
        <v>142</v>
      </c>
      <c r="V706" s="21" t="s">
        <v>74</v>
      </c>
      <c r="W706" s="21" t="s">
        <v>160</v>
      </c>
      <c r="X706" s="161" t="s">
        <v>603</v>
      </c>
      <c r="Y706" s="161">
        <v>0.1</v>
      </c>
      <c r="Z706" s="161">
        <v>0.8</v>
      </c>
      <c r="AA706" s="161" t="s">
        <v>144</v>
      </c>
      <c r="AB706" s="161" t="s">
        <v>114</v>
      </c>
      <c r="AC706" s="266" t="str">
        <f>HYPERLINK("https://gcsvt.ru/svetodiodnyie-svetilniki/svt-str-m-16w-c/","Ссылка")</f>
        <v>Ссылка</v>
      </c>
      <c r="AD706" s="167">
        <v>4692</v>
      </c>
    </row>
    <row r="707" spans="1:30" s="161" customFormat="1" ht="39.950000000000003" hidden="1" customHeight="1" outlineLevel="2" x14ac:dyDescent="0.25">
      <c r="B707" s="21" t="s">
        <v>565</v>
      </c>
      <c r="C707" s="159" t="s">
        <v>604</v>
      </c>
      <c r="D707" s="161">
        <v>3620</v>
      </c>
      <c r="E707" s="161">
        <v>24</v>
      </c>
      <c r="F707" s="161">
        <v>150</v>
      </c>
      <c r="G707" s="161" t="s">
        <v>605</v>
      </c>
      <c r="H707" s="161" t="s">
        <v>138</v>
      </c>
      <c r="I707" s="161">
        <v>67</v>
      </c>
      <c r="J707" s="161" t="s">
        <v>105</v>
      </c>
      <c r="K707" s="21" t="s">
        <v>106</v>
      </c>
      <c r="L707" s="161" t="s">
        <v>3380</v>
      </c>
      <c r="M707" s="21" t="s">
        <v>568</v>
      </c>
      <c r="N707" s="161" t="s">
        <v>108</v>
      </c>
      <c r="O707" s="21" t="s">
        <v>139</v>
      </c>
      <c r="P707" s="161" t="s">
        <v>109</v>
      </c>
      <c r="Q707" s="21" t="s">
        <v>70</v>
      </c>
      <c r="R707" s="161">
        <v>80</v>
      </c>
      <c r="S707" s="161" t="s">
        <v>573</v>
      </c>
      <c r="T707" s="161" t="s">
        <v>141</v>
      </c>
      <c r="U707" s="161" t="s">
        <v>142</v>
      </c>
      <c r="V707" s="21" t="s">
        <v>74</v>
      </c>
      <c r="W707" s="21" t="s">
        <v>160</v>
      </c>
      <c r="X707" s="161" t="s">
        <v>603</v>
      </c>
      <c r="Y707" s="161">
        <v>0.1</v>
      </c>
      <c r="Z707" s="161">
        <v>0.8</v>
      </c>
      <c r="AA707" s="161" t="s">
        <v>144</v>
      </c>
      <c r="AB707" s="161" t="s">
        <v>114</v>
      </c>
      <c r="AC707" s="266" t="str">
        <f>HYPERLINK("https://gcsvt.ru/svetodiodnyie-svetilniki/svt-str-m-24w-c/","Ссылка")</f>
        <v>Ссылка</v>
      </c>
      <c r="AD707" s="167">
        <v>4692</v>
      </c>
    </row>
    <row r="708" spans="1:30" s="161" customFormat="1" ht="39.950000000000003" hidden="1" customHeight="1" outlineLevel="2" x14ac:dyDescent="0.25">
      <c r="A708" s="21"/>
      <c r="B708" s="21" t="s">
        <v>565</v>
      </c>
      <c r="C708" s="159" t="s">
        <v>606</v>
      </c>
      <c r="D708" s="161">
        <v>4840</v>
      </c>
      <c r="E708" s="161">
        <v>32</v>
      </c>
      <c r="F708" s="161">
        <v>151</v>
      </c>
      <c r="G708" s="161" t="s">
        <v>607</v>
      </c>
      <c r="H708" s="161" t="s">
        <v>138</v>
      </c>
      <c r="I708" s="161">
        <v>67</v>
      </c>
      <c r="J708" s="161" t="s">
        <v>105</v>
      </c>
      <c r="K708" s="21" t="s">
        <v>106</v>
      </c>
      <c r="L708" s="161" t="s">
        <v>3380</v>
      </c>
      <c r="M708" s="21" t="s">
        <v>568</v>
      </c>
      <c r="N708" s="161" t="s">
        <v>108</v>
      </c>
      <c r="O708" s="21" t="s">
        <v>139</v>
      </c>
      <c r="P708" s="161" t="s">
        <v>109</v>
      </c>
      <c r="Q708" s="21" t="s">
        <v>70</v>
      </c>
      <c r="R708" s="161">
        <v>80</v>
      </c>
      <c r="S708" s="161" t="s">
        <v>140</v>
      </c>
      <c r="T708" s="161" t="s">
        <v>141</v>
      </c>
      <c r="U708" s="161" t="s">
        <v>142</v>
      </c>
      <c r="V708" s="21" t="s">
        <v>74</v>
      </c>
      <c r="W708" s="21" t="s">
        <v>160</v>
      </c>
      <c r="X708" s="161" t="s">
        <v>603</v>
      </c>
      <c r="Y708" s="161">
        <v>0.1</v>
      </c>
      <c r="Z708" s="161">
        <v>0.8</v>
      </c>
      <c r="AA708" s="161" t="s">
        <v>144</v>
      </c>
      <c r="AB708" s="161" t="s">
        <v>114</v>
      </c>
      <c r="AC708" s="266" t="str">
        <f>HYPERLINK("https://gcsvt.ru/svetodiodnyie-svetilniki/svt-str-m-32w-c/","Ссылка")</f>
        <v>Ссылка</v>
      </c>
      <c r="AD708" s="167">
        <v>4692</v>
      </c>
    </row>
    <row r="709" spans="1:30" s="161" customFormat="1" ht="39.950000000000003" hidden="1" customHeight="1" outlineLevel="2" x14ac:dyDescent="0.25">
      <c r="A709" s="21"/>
      <c r="B709" s="21" t="s">
        <v>565</v>
      </c>
      <c r="C709" s="159" t="s">
        <v>608</v>
      </c>
      <c r="D709" s="161">
        <v>7630</v>
      </c>
      <c r="E709" s="161">
        <v>48</v>
      </c>
      <c r="F709" s="161">
        <v>158</v>
      </c>
      <c r="G709" s="161" t="s">
        <v>609</v>
      </c>
      <c r="H709" s="161" t="s">
        <v>138</v>
      </c>
      <c r="I709" s="161">
        <v>67</v>
      </c>
      <c r="J709" s="161" t="s">
        <v>105</v>
      </c>
      <c r="K709" s="21" t="s">
        <v>106</v>
      </c>
      <c r="L709" s="161" t="s">
        <v>3380</v>
      </c>
      <c r="M709" s="21" t="s">
        <v>568</v>
      </c>
      <c r="N709" s="161" t="s">
        <v>108</v>
      </c>
      <c r="O709" s="21" t="s">
        <v>139</v>
      </c>
      <c r="P709" s="161" t="s">
        <v>109</v>
      </c>
      <c r="Q709" s="21" t="s">
        <v>70</v>
      </c>
      <c r="R709" s="161">
        <v>80</v>
      </c>
      <c r="S709" s="161" t="s">
        <v>147</v>
      </c>
      <c r="T709" s="161" t="s">
        <v>141</v>
      </c>
      <c r="U709" s="161" t="s">
        <v>142</v>
      </c>
      <c r="V709" s="21" t="s">
        <v>74</v>
      </c>
      <c r="W709" s="21" t="s">
        <v>160</v>
      </c>
      <c r="X709" s="161" t="s">
        <v>610</v>
      </c>
      <c r="Y709" s="161">
        <v>0.1</v>
      </c>
      <c r="Z709" s="161">
        <v>1</v>
      </c>
      <c r="AA709" s="161" t="s">
        <v>144</v>
      </c>
      <c r="AB709" s="161" t="s">
        <v>114</v>
      </c>
      <c r="AC709" s="266" t="str">
        <f>HYPERLINK("https://gcsvt.ru/svetodiodnyie-svetilniki/svt-str-m-48w-c/","Ссылка")</f>
        <v>Ссылка</v>
      </c>
      <c r="AD709" s="167">
        <v>5549</v>
      </c>
    </row>
    <row r="710" spans="1:30" s="161" customFormat="1" ht="39.950000000000003" hidden="1" customHeight="1" outlineLevel="2" x14ac:dyDescent="0.25">
      <c r="A710" s="21"/>
      <c r="B710" s="21" t="s">
        <v>565</v>
      </c>
      <c r="C710" s="159" t="s">
        <v>611</v>
      </c>
      <c r="D710" s="161">
        <v>9770</v>
      </c>
      <c r="E710" s="161">
        <v>61</v>
      </c>
      <c r="F710" s="161">
        <v>160</v>
      </c>
      <c r="G710" s="161" t="s">
        <v>612</v>
      </c>
      <c r="H710" s="161" t="s">
        <v>138</v>
      </c>
      <c r="I710" s="161">
        <v>67</v>
      </c>
      <c r="J710" s="161" t="s">
        <v>105</v>
      </c>
      <c r="K710" s="21" t="s">
        <v>106</v>
      </c>
      <c r="L710" s="161" t="s">
        <v>3380</v>
      </c>
      <c r="M710" s="21" t="s">
        <v>568</v>
      </c>
      <c r="N710" s="161" t="s">
        <v>108</v>
      </c>
      <c r="O710" s="21" t="s">
        <v>139</v>
      </c>
      <c r="P710" s="161" t="s">
        <v>109</v>
      </c>
      <c r="Q710" s="21" t="s">
        <v>70</v>
      </c>
      <c r="R710" s="161">
        <v>80</v>
      </c>
      <c r="S710" s="161" t="s">
        <v>151</v>
      </c>
      <c r="T710" s="161" t="s">
        <v>141</v>
      </c>
      <c r="U710" s="161" t="s">
        <v>73</v>
      </c>
      <c r="V710" s="21" t="s">
        <v>74</v>
      </c>
      <c r="W710" s="21" t="s">
        <v>160</v>
      </c>
      <c r="X710" s="161" t="s">
        <v>613</v>
      </c>
      <c r="Y710" s="161">
        <v>0.1</v>
      </c>
      <c r="Z710" s="161">
        <v>1.1000000000000001</v>
      </c>
      <c r="AA710" s="161" t="s">
        <v>77</v>
      </c>
      <c r="AB710" s="161" t="s">
        <v>114</v>
      </c>
      <c r="AC710" s="266" t="str">
        <f>HYPERLINK("https://gcsvt.ru/svetodiodnyie-svetilniki/svt-str-m-61w-c/","Ссылка")</f>
        <v>Ссылка</v>
      </c>
      <c r="AD710" s="167">
        <v>6120</v>
      </c>
    </row>
    <row r="711" spans="1:30" s="161" customFormat="1" ht="39.950000000000003" hidden="1" customHeight="1" outlineLevel="2" x14ac:dyDescent="0.25">
      <c r="A711" s="21"/>
      <c r="B711" s="21" t="s">
        <v>565</v>
      </c>
      <c r="C711" s="159" t="s">
        <v>614</v>
      </c>
      <c r="D711" s="161">
        <v>2500</v>
      </c>
      <c r="E711" s="161">
        <v>16</v>
      </c>
      <c r="F711" s="161">
        <v>156</v>
      </c>
      <c r="G711" s="161" t="s">
        <v>615</v>
      </c>
      <c r="H711" s="161" t="s">
        <v>138</v>
      </c>
      <c r="I711" s="161">
        <v>67</v>
      </c>
      <c r="J711" s="161" t="s">
        <v>105</v>
      </c>
      <c r="K711" s="21" t="s">
        <v>106</v>
      </c>
      <c r="L711" s="161" t="s">
        <v>3380</v>
      </c>
      <c r="M711" s="21" t="s">
        <v>107</v>
      </c>
      <c r="N711" s="161" t="s">
        <v>108</v>
      </c>
      <c r="O711" s="21" t="s">
        <v>139</v>
      </c>
      <c r="P711" s="161" t="s">
        <v>109</v>
      </c>
      <c r="Q711" s="21" t="s">
        <v>70</v>
      </c>
      <c r="R711" s="161">
        <v>80</v>
      </c>
      <c r="S711" s="161" t="s">
        <v>140</v>
      </c>
      <c r="T711" s="161" t="s">
        <v>569</v>
      </c>
      <c r="U711" s="161" t="s">
        <v>142</v>
      </c>
      <c r="V711" s="21" t="s">
        <v>74</v>
      </c>
      <c r="W711" s="21" t="s">
        <v>160</v>
      </c>
      <c r="X711" s="161" t="s">
        <v>603</v>
      </c>
      <c r="Y711" s="161">
        <v>0.1</v>
      </c>
      <c r="Z711" s="161">
        <v>0.8</v>
      </c>
      <c r="AA711" s="161" t="s">
        <v>144</v>
      </c>
      <c r="AB711" s="161" t="s">
        <v>114</v>
      </c>
      <c r="AC711" s="266" t="str">
        <f>HYPERLINK("https://gcsvt.ru/svetodiodnyie-svetilniki/svt-str-m-16w-c-s-zashchitoy-ot-380/","Ссылка")</f>
        <v>Ссылка</v>
      </c>
      <c r="AD711" s="167">
        <v>5672</v>
      </c>
    </row>
    <row r="712" spans="1:30" s="161" customFormat="1" ht="39.950000000000003" hidden="1" customHeight="1" outlineLevel="2" x14ac:dyDescent="0.25">
      <c r="A712" s="21"/>
      <c r="B712" s="21" t="s">
        <v>565</v>
      </c>
      <c r="C712" s="159" t="s">
        <v>616</v>
      </c>
      <c r="D712" s="161">
        <v>3620</v>
      </c>
      <c r="E712" s="161">
        <v>24</v>
      </c>
      <c r="F712" s="161">
        <v>150</v>
      </c>
      <c r="G712" s="161" t="s">
        <v>617</v>
      </c>
      <c r="H712" s="161" t="s">
        <v>138</v>
      </c>
      <c r="I712" s="161">
        <v>67</v>
      </c>
      <c r="J712" s="161" t="s">
        <v>105</v>
      </c>
      <c r="K712" s="21" t="s">
        <v>106</v>
      </c>
      <c r="L712" s="161" t="s">
        <v>3380</v>
      </c>
      <c r="M712" s="21" t="s">
        <v>107</v>
      </c>
      <c r="N712" s="161" t="s">
        <v>108</v>
      </c>
      <c r="O712" s="21" t="s">
        <v>139</v>
      </c>
      <c r="P712" s="161" t="s">
        <v>109</v>
      </c>
      <c r="Q712" s="21" t="s">
        <v>70</v>
      </c>
      <c r="R712" s="161">
        <v>80</v>
      </c>
      <c r="S712" s="161" t="s">
        <v>573</v>
      </c>
      <c r="T712" s="161" t="s">
        <v>141</v>
      </c>
      <c r="U712" s="161" t="s">
        <v>142</v>
      </c>
      <c r="V712" s="21" t="s">
        <v>74</v>
      </c>
      <c r="W712" s="21" t="s">
        <v>160</v>
      </c>
      <c r="X712" s="161" t="s">
        <v>603</v>
      </c>
      <c r="Y712" s="161">
        <v>0.1</v>
      </c>
      <c r="Z712" s="161">
        <v>0.8</v>
      </c>
      <c r="AA712" s="161" t="s">
        <v>144</v>
      </c>
      <c r="AB712" s="161" t="s">
        <v>114</v>
      </c>
      <c r="AC712" s="266" t="str">
        <f>HYPERLINK("https://gcsvt.ru/svetodiodnyie-svetilniki/svt-str-m-24w-c-s-zashchitoy-ot-380/","Ссылка")</f>
        <v>Ссылка</v>
      </c>
      <c r="AD712" s="167">
        <v>5672</v>
      </c>
    </row>
    <row r="713" spans="1:30" s="161" customFormat="1" ht="39.950000000000003" hidden="1" customHeight="1" outlineLevel="2" x14ac:dyDescent="0.25">
      <c r="A713" s="21"/>
      <c r="B713" s="21" t="s">
        <v>565</v>
      </c>
      <c r="C713" s="159" t="s">
        <v>618</v>
      </c>
      <c r="D713" s="161">
        <v>4840</v>
      </c>
      <c r="E713" s="161">
        <v>32</v>
      </c>
      <c r="F713" s="161">
        <v>151</v>
      </c>
      <c r="G713" s="161" t="s">
        <v>619</v>
      </c>
      <c r="H713" s="161" t="s">
        <v>138</v>
      </c>
      <c r="I713" s="161">
        <v>67</v>
      </c>
      <c r="J713" s="161" t="s">
        <v>105</v>
      </c>
      <c r="K713" s="21" t="s">
        <v>106</v>
      </c>
      <c r="L713" s="161" t="s">
        <v>3380</v>
      </c>
      <c r="M713" s="21" t="s">
        <v>107</v>
      </c>
      <c r="N713" s="161" t="s">
        <v>108</v>
      </c>
      <c r="O713" s="21" t="s">
        <v>139</v>
      </c>
      <c r="P713" s="161" t="s">
        <v>109</v>
      </c>
      <c r="Q713" s="21" t="s">
        <v>70</v>
      </c>
      <c r="R713" s="161">
        <v>80</v>
      </c>
      <c r="S713" s="161" t="s">
        <v>140</v>
      </c>
      <c r="T713" s="161" t="s">
        <v>141</v>
      </c>
      <c r="U713" s="161" t="s">
        <v>142</v>
      </c>
      <c r="V713" s="21" t="s">
        <v>74</v>
      </c>
      <c r="W713" s="21" t="s">
        <v>160</v>
      </c>
      <c r="X713" s="161" t="s">
        <v>603</v>
      </c>
      <c r="Y713" s="161">
        <v>0.1</v>
      </c>
      <c r="Z713" s="161">
        <v>0.8</v>
      </c>
      <c r="AA713" s="161" t="s">
        <v>144</v>
      </c>
      <c r="AB713" s="161" t="s">
        <v>114</v>
      </c>
      <c r="AC713" s="266" t="str">
        <f>HYPERLINK("https://gcsvt.ru/svetodiodnyie-svetilniki/svt-str-m-32w-c-s-zashchitoy-ot-380/","Ссылка")</f>
        <v>Ссылка</v>
      </c>
      <c r="AD713" s="167">
        <v>5672</v>
      </c>
    </row>
    <row r="714" spans="1:30" s="161" customFormat="1" ht="39.950000000000003" hidden="1" customHeight="1" outlineLevel="2" x14ac:dyDescent="0.25">
      <c r="A714" s="21"/>
      <c r="B714" s="21" t="s">
        <v>565</v>
      </c>
      <c r="C714" s="159" t="s">
        <v>620</v>
      </c>
      <c r="D714" s="161">
        <v>7630</v>
      </c>
      <c r="E714" s="161">
        <v>48</v>
      </c>
      <c r="F714" s="161">
        <v>158</v>
      </c>
      <c r="G714" s="161" t="s">
        <v>621</v>
      </c>
      <c r="H714" s="161" t="s">
        <v>138</v>
      </c>
      <c r="I714" s="161">
        <v>67</v>
      </c>
      <c r="J714" s="161" t="s">
        <v>105</v>
      </c>
      <c r="K714" s="21" t="s">
        <v>106</v>
      </c>
      <c r="L714" s="161" t="s">
        <v>3380</v>
      </c>
      <c r="M714" s="21" t="s">
        <v>107</v>
      </c>
      <c r="N714" s="161" t="s">
        <v>108</v>
      </c>
      <c r="O714" s="21" t="s">
        <v>139</v>
      </c>
      <c r="P714" s="161" t="s">
        <v>109</v>
      </c>
      <c r="Q714" s="21" t="s">
        <v>70</v>
      </c>
      <c r="R714" s="161">
        <v>80</v>
      </c>
      <c r="S714" s="161" t="s">
        <v>147</v>
      </c>
      <c r="T714" s="161" t="s">
        <v>141</v>
      </c>
      <c r="U714" s="161" t="s">
        <v>142</v>
      </c>
      <c r="V714" s="21" t="s">
        <v>74</v>
      </c>
      <c r="W714" s="21" t="s">
        <v>160</v>
      </c>
      <c r="X714" s="161" t="s">
        <v>610</v>
      </c>
      <c r="Y714" s="161">
        <v>0.1</v>
      </c>
      <c r="Z714" s="161">
        <v>1</v>
      </c>
      <c r="AA714" s="161" t="s">
        <v>144</v>
      </c>
      <c r="AB714" s="161" t="s">
        <v>114</v>
      </c>
      <c r="AC714" s="266" t="str">
        <f>HYPERLINK("https://gcsvt.ru/svetodiodnyie-svetilniki/svt-str-m-48w-c-s-zashchitoy-ot-380/","Ссылка")</f>
        <v>Ссылка</v>
      </c>
      <c r="AD714" s="167">
        <v>5916</v>
      </c>
    </row>
    <row r="715" spans="1:30" s="161" customFormat="1" ht="39.950000000000003" hidden="1" customHeight="1" outlineLevel="2" x14ac:dyDescent="0.25">
      <c r="A715" s="21"/>
      <c r="B715" s="21" t="s">
        <v>565</v>
      </c>
      <c r="C715" s="159" t="s">
        <v>622</v>
      </c>
      <c r="D715" s="161">
        <v>9770</v>
      </c>
      <c r="E715" s="161">
        <v>61</v>
      </c>
      <c r="F715" s="161">
        <v>160</v>
      </c>
      <c r="G715" s="161" t="s">
        <v>623</v>
      </c>
      <c r="H715" s="161" t="s">
        <v>138</v>
      </c>
      <c r="I715" s="161">
        <v>67</v>
      </c>
      <c r="J715" s="161" t="s">
        <v>105</v>
      </c>
      <c r="K715" s="21" t="s">
        <v>106</v>
      </c>
      <c r="L715" s="161" t="s">
        <v>3380</v>
      </c>
      <c r="M715" s="21" t="s">
        <v>107</v>
      </c>
      <c r="N715" s="161" t="s">
        <v>108</v>
      </c>
      <c r="O715" s="21" t="s">
        <v>139</v>
      </c>
      <c r="P715" s="161" t="s">
        <v>109</v>
      </c>
      <c r="Q715" s="21" t="s">
        <v>70</v>
      </c>
      <c r="R715" s="161">
        <v>80</v>
      </c>
      <c r="S715" s="161" t="s">
        <v>151</v>
      </c>
      <c r="T715" s="161" t="s">
        <v>141</v>
      </c>
      <c r="U715" s="161" t="s">
        <v>73</v>
      </c>
      <c r="V715" s="21" t="s">
        <v>74</v>
      </c>
      <c r="W715" s="21" t="s">
        <v>160</v>
      </c>
      <c r="X715" s="161" t="s">
        <v>613</v>
      </c>
      <c r="Y715" s="161">
        <v>0.1</v>
      </c>
      <c r="Z715" s="161">
        <v>1.1000000000000001</v>
      </c>
      <c r="AA715" s="161" t="s">
        <v>77</v>
      </c>
      <c r="AB715" s="161" t="s">
        <v>114</v>
      </c>
      <c r="AC715" s="266" t="str">
        <f>HYPERLINK("https://gcsvt.ru/svetodiodnyie-svetilniki/svt-str-m-61w-c-s-zashchitoy-ot-380/","Ссылка")</f>
        <v>Ссылка</v>
      </c>
      <c r="AD715" s="167">
        <v>6630</v>
      </c>
    </row>
    <row r="716" spans="1:30" s="161" customFormat="1" ht="39.950000000000003" hidden="1" customHeight="1" outlineLevel="2" x14ac:dyDescent="0.25">
      <c r="A716" s="21"/>
      <c r="B716" s="21" t="s">
        <v>565</v>
      </c>
      <c r="C716" s="159" t="s">
        <v>624</v>
      </c>
      <c r="D716" s="161">
        <v>12470</v>
      </c>
      <c r="E716" s="161">
        <v>80</v>
      </c>
      <c r="F716" s="161">
        <v>155</v>
      </c>
      <c r="G716" s="161" t="s">
        <v>625</v>
      </c>
      <c r="H716" s="161" t="s">
        <v>138</v>
      </c>
      <c r="I716" s="161">
        <v>67</v>
      </c>
      <c r="J716" s="161" t="s">
        <v>105</v>
      </c>
      <c r="K716" s="21" t="s">
        <v>106</v>
      </c>
      <c r="L716" s="161" t="s">
        <v>3380</v>
      </c>
      <c r="M716" s="21" t="s">
        <v>157</v>
      </c>
      <c r="N716" s="161" t="s">
        <v>67</v>
      </c>
      <c r="O716" s="21" t="s">
        <v>139</v>
      </c>
      <c r="P716" s="161" t="s">
        <v>109</v>
      </c>
      <c r="Q716" s="21" t="s">
        <v>70</v>
      </c>
      <c r="R716" s="161">
        <v>80</v>
      </c>
      <c r="S716" s="161" t="s">
        <v>594</v>
      </c>
      <c r="T716" s="161" t="s">
        <v>141</v>
      </c>
      <c r="U716" s="161" t="s">
        <v>73</v>
      </c>
      <c r="V716" s="21" t="s">
        <v>74</v>
      </c>
      <c r="W716" s="21" t="s">
        <v>160</v>
      </c>
      <c r="X716" s="161" t="s">
        <v>2835</v>
      </c>
      <c r="Y716" s="161">
        <v>0.1</v>
      </c>
      <c r="Z716" s="161">
        <v>1.8</v>
      </c>
      <c r="AA716" s="161" t="s">
        <v>77</v>
      </c>
      <c r="AB716" s="161" t="s">
        <v>114</v>
      </c>
      <c r="AC716" s="266" t="str">
        <f>HYPERLINK("https://gcsvt.ru/svetodiodnyie-svetilniki/svt-str-m-80w-c/","Ссылка")</f>
        <v>Ссылка</v>
      </c>
      <c r="AD716" s="167">
        <v>9690</v>
      </c>
    </row>
    <row r="717" spans="1:30" s="161" customFormat="1" ht="39.950000000000003" hidden="1" customHeight="1" outlineLevel="2" x14ac:dyDescent="0.25">
      <c r="A717" s="21"/>
      <c r="B717" s="21" t="s">
        <v>565</v>
      </c>
      <c r="C717" s="159" t="s">
        <v>626</v>
      </c>
      <c r="D717" s="161">
        <v>14240</v>
      </c>
      <c r="E717" s="161">
        <v>96</v>
      </c>
      <c r="F717" s="161">
        <v>148</v>
      </c>
      <c r="G717" s="161" t="s">
        <v>627</v>
      </c>
      <c r="H717" s="161" t="s">
        <v>138</v>
      </c>
      <c r="I717" s="161">
        <v>67</v>
      </c>
      <c r="J717" s="161" t="s">
        <v>105</v>
      </c>
      <c r="K717" s="21" t="s">
        <v>106</v>
      </c>
      <c r="L717" s="161" t="s">
        <v>3380</v>
      </c>
      <c r="M717" s="21" t="s">
        <v>157</v>
      </c>
      <c r="N717" s="161" t="s">
        <v>67</v>
      </c>
      <c r="O717" s="21" t="s">
        <v>139</v>
      </c>
      <c r="P717" s="161" t="s">
        <v>109</v>
      </c>
      <c r="Q717" s="21" t="s">
        <v>70</v>
      </c>
      <c r="R717" s="161">
        <v>80</v>
      </c>
      <c r="S717" s="161" t="s">
        <v>155</v>
      </c>
      <c r="T717" s="161" t="s">
        <v>141</v>
      </c>
      <c r="U717" s="161" t="s">
        <v>73</v>
      </c>
      <c r="V717" s="21" t="s">
        <v>74</v>
      </c>
      <c r="W717" s="21" t="s">
        <v>160</v>
      </c>
      <c r="X717" s="161" t="s">
        <v>628</v>
      </c>
      <c r="Y717" s="161">
        <v>0.1</v>
      </c>
      <c r="Z717" s="161">
        <v>1.9</v>
      </c>
      <c r="AA717" s="161" t="s">
        <v>77</v>
      </c>
      <c r="AB717" s="161" t="s">
        <v>114</v>
      </c>
      <c r="AC717" s="266" t="str">
        <f>HYPERLINK("https://gcsvt.ru/svetodiodnyie-svetilniki/svt-str-m-96w-c/","Ссылка")</f>
        <v>Ссылка</v>
      </c>
      <c r="AD717" s="167">
        <v>9996</v>
      </c>
    </row>
    <row r="718" spans="1:30" s="161" customFormat="1" ht="39.950000000000003" hidden="1" customHeight="1" outlineLevel="1" collapsed="1" x14ac:dyDescent="0.25">
      <c r="A718" s="158"/>
      <c r="B718" s="219" t="s">
        <v>3992</v>
      </c>
      <c r="C718" s="218"/>
      <c r="K718" s="21"/>
      <c r="M718" s="21"/>
      <c r="O718" s="21"/>
      <c r="Q718" s="21"/>
      <c r="V718" s="21"/>
      <c r="W718" s="21"/>
      <c r="AC718" s="228"/>
      <c r="AD718" s="167"/>
    </row>
    <row r="719" spans="1:30" s="161" customFormat="1" ht="39.950000000000003" hidden="1" customHeight="1" outlineLevel="2" x14ac:dyDescent="0.25">
      <c r="B719" s="21" t="s">
        <v>784</v>
      </c>
      <c r="C719" s="159" t="s">
        <v>785</v>
      </c>
      <c r="D719" s="161">
        <v>4140</v>
      </c>
      <c r="E719" s="161">
        <v>27</v>
      </c>
      <c r="F719" s="161">
        <v>153</v>
      </c>
      <c r="G719" s="161" t="s">
        <v>786</v>
      </c>
      <c r="H719" s="161" t="s">
        <v>177</v>
      </c>
      <c r="I719" s="161">
        <v>67</v>
      </c>
      <c r="J719" s="161" t="s">
        <v>105</v>
      </c>
      <c r="K719" s="21" t="s">
        <v>106</v>
      </c>
      <c r="L719" s="161" t="s">
        <v>3380</v>
      </c>
      <c r="M719" s="21" t="s">
        <v>568</v>
      </c>
      <c r="N719" s="161" t="s">
        <v>108</v>
      </c>
      <c r="O719" s="21" t="s">
        <v>68</v>
      </c>
      <c r="P719" s="161" t="s">
        <v>109</v>
      </c>
      <c r="Q719" s="21" t="s">
        <v>70</v>
      </c>
      <c r="R719" s="161">
        <v>70</v>
      </c>
      <c r="S719" s="161" t="s">
        <v>173</v>
      </c>
      <c r="T719" s="161" t="s">
        <v>174</v>
      </c>
      <c r="U719" s="161" t="s">
        <v>142</v>
      </c>
      <c r="V719" s="21" t="s">
        <v>74</v>
      </c>
      <c r="W719" s="21" t="s">
        <v>112</v>
      </c>
      <c r="X719" s="161" t="s">
        <v>787</v>
      </c>
      <c r="Y719" s="161">
        <v>5.3949999999999996E-3</v>
      </c>
      <c r="Z719" s="161">
        <v>1.3</v>
      </c>
      <c r="AA719" s="161" t="s">
        <v>144</v>
      </c>
      <c r="AB719" s="161" t="s">
        <v>114</v>
      </c>
      <c r="AC719" s="266" t="str">
        <f>HYPERLINK("https://gcsvt.ru/svetodiodnyie-svetilniki/SVT-STR-M-27W-20/","Ссылка")</f>
        <v>Ссылка</v>
      </c>
      <c r="AD719" s="167">
        <v>5508</v>
      </c>
    </row>
    <row r="720" spans="1:30" s="161" customFormat="1" ht="39.950000000000003" hidden="1" customHeight="1" outlineLevel="2" x14ac:dyDescent="0.25">
      <c r="A720" s="21"/>
      <c r="B720" s="21" t="s">
        <v>784</v>
      </c>
      <c r="C720" s="159" t="s">
        <v>788</v>
      </c>
      <c r="D720" s="161">
        <v>4140</v>
      </c>
      <c r="E720" s="161">
        <v>27</v>
      </c>
      <c r="F720" s="161">
        <v>153</v>
      </c>
      <c r="G720" s="161" t="s">
        <v>789</v>
      </c>
      <c r="H720" s="161" t="s">
        <v>180</v>
      </c>
      <c r="I720" s="161">
        <v>67</v>
      </c>
      <c r="J720" s="161" t="s">
        <v>105</v>
      </c>
      <c r="K720" s="21" t="s">
        <v>106</v>
      </c>
      <c r="L720" s="161" t="s">
        <v>3380</v>
      </c>
      <c r="M720" s="21" t="s">
        <v>568</v>
      </c>
      <c r="N720" s="161" t="s">
        <v>108</v>
      </c>
      <c r="O720" s="21" t="s">
        <v>68</v>
      </c>
      <c r="P720" s="161" t="s">
        <v>109</v>
      </c>
      <c r="Q720" s="21" t="s">
        <v>70</v>
      </c>
      <c r="R720" s="161">
        <v>70</v>
      </c>
      <c r="S720" s="161" t="s">
        <v>173</v>
      </c>
      <c r="T720" s="161" t="s">
        <v>174</v>
      </c>
      <c r="U720" s="161" t="s">
        <v>142</v>
      </c>
      <c r="V720" s="21" t="s">
        <v>74</v>
      </c>
      <c r="W720" s="21" t="s">
        <v>112</v>
      </c>
      <c r="X720" s="161" t="s">
        <v>787</v>
      </c>
      <c r="Y720" s="161">
        <v>5.3949999999999996E-3</v>
      </c>
      <c r="Z720" s="161">
        <v>1.3</v>
      </c>
      <c r="AA720" s="161" t="s">
        <v>144</v>
      </c>
      <c r="AB720" s="161" t="s">
        <v>114</v>
      </c>
      <c r="AC720" s="266" t="str">
        <f>HYPERLINK("https://gcsvt.ru/svetodiodnyie-svetilniki/SVT-STR-M-27W-35/","Ссылка")</f>
        <v>Ссылка</v>
      </c>
      <c r="AD720" s="167">
        <v>5508</v>
      </c>
    </row>
    <row r="721" spans="1:30" s="161" customFormat="1" ht="39.950000000000003" hidden="1" customHeight="1" outlineLevel="2" x14ac:dyDescent="0.25">
      <c r="A721" s="21"/>
      <c r="B721" s="21" t="s">
        <v>784</v>
      </c>
      <c r="C721" s="159" t="s">
        <v>790</v>
      </c>
      <c r="D721" s="161">
        <v>4140</v>
      </c>
      <c r="E721" s="161">
        <v>27</v>
      </c>
      <c r="F721" s="161">
        <v>153</v>
      </c>
      <c r="G721" s="161" t="s">
        <v>791</v>
      </c>
      <c r="H721" s="161" t="s">
        <v>183</v>
      </c>
      <c r="I721" s="161">
        <v>67</v>
      </c>
      <c r="J721" s="161" t="s">
        <v>105</v>
      </c>
      <c r="K721" s="21" t="s">
        <v>106</v>
      </c>
      <c r="L721" s="161" t="s">
        <v>3380</v>
      </c>
      <c r="M721" s="21" t="s">
        <v>568</v>
      </c>
      <c r="N721" s="161" t="s">
        <v>108</v>
      </c>
      <c r="O721" s="21" t="s">
        <v>68</v>
      </c>
      <c r="P721" s="161" t="s">
        <v>109</v>
      </c>
      <c r="Q721" s="21" t="s">
        <v>70</v>
      </c>
      <c r="R721" s="161">
        <v>70</v>
      </c>
      <c r="S721" s="161" t="s">
        <v>173</v>
      </c>
      <c r="T721" s="161" t="s">
        <v>174</v>
      </c>
      <c r="U721" s="161" t="s">
        <v>142</v>
      </c>
      <c r="V721" s="21" t="s">
        <v>74</v>
      </c>
      <c r="W721" s="21" t="s">
        <v>112</v>
      </c>
      <c r="X721" s="161" t="s">
        <v>787</v>
      </c>
      <c r="Y721" s="161">
        <v>5.3949999999999996E-3</v>
      </c>
      <c r="Z721" s="161">
        <v>1.3</v>
      </c>
      <c r="AA721" s="161" t="s">
        <v>144</v>
      </c>
      <c r="AB721" s="161" t="s">
        <v>114</v>
      </c>
      <c r="AC721" s="266" t="str">
        <f>HYPERLINK("https://gcsvt.ru/svetodiodnyie-svetilniki/SVT-STR-M-27W-65/","Ссылка")</f>
        <v>Ссылка</v>
      </c>
      <c r="AD721" s="167">
        <v>5508</v>
      </c>
    </row>
    <row r="722" spans="1:30" s="161" customFormat="1" ht="39.950000000000003" hidden="1" customHeight="1" outlineLevel="2" x14ac:dyDescent="0.25">
      <c r="A722" s="21"/>
      <c r="B722" s="21" t="s">
        <v>784</v>
      </c>
      <c r="C722" s="159" t="s">
        <v>792</v>
      </c>
      <c r="D722" s="161">
        <v>4140</v>
      </c>
      <c r="E722" s="161">
        <v>27</v>
      </c>
      <c r="F722" s="161">
        <v>153</v>
      </c>
      <c r="G722" s="161" t="s">
        <v>793</v>
      </c>
      <c r="H722" s="161" t="s">
        <v>186</v>
      </c>
      <c r="I722" s="161">
        <v>67</v>
      </c>
      <c r="J722" s="161" t="s">
        <v>105</v>
      </c>
      <c r="K722" s="21" t="s">
        <v>106</v>
      </c>
      <c r="L722" s="161" t="s">
        <v>3380</v>
      </c>
      <c r="M722" s="21" t="s">
        <v>568</v>
      </c>
      <c r="N722" s="161" t="s">
        <v>108</v>
      </c>
      <c r="O722" s="21" t="s">
        <v>68</v>
      </c>
      <c r="P722" s="161" t="s">
        <v>109</v>
      </c>
      <c r="Q722" s="21" t="s">
        <v>70</v>
      </c>
      <c r="R722" s="161">
        <v>70</v>
      </c>
      <c r="S722" s="161" t="s">
        <v>173</v>
      </c>
      <c r="T722" s="161" t="s">
        <v>174</v>
      </c>
      <c r="U722" s="161" t="s">
        <v>142</v>
      </c>
      <c r="V722" s="21" t="s">
        <v>74</v>
      </c>
      <c r="W722" s="21" t="s">
        <v>112</v>
      </c>
      <c r="X722" s="161" t="s">
        <v>787</v>
      </c>
      <c r="Y722" s="161">
        <v>5.3949999999999996E-3</v>
      </c>
      <c r="Z722" s="161">
        <v>1.3</v>
      </c>
      <c r="AA722" s="161" t="s">
        <v>144</v>
      </c>
      <c r="AB722" s="161" t="s">
        <v>114</v>
      </c>
      <c r="AC722" s="266" t="str">
        <f>HYPERLINK("https://gcsvt.ru/svetodiodnyie-svetilniki/svt-str-m-27w-100/","Ссылка")</f>
        <v>Ссылка</v>
      </c>
      <c r="AD722" s="167">
        <v>5508</v>
      </c>
    </row>
    <row r="723" spans="1:30" s="161" customFormat="1" ht="39.950000000000003" hidden="1" customHeight="1" outlineLevel="2" x14ac:dyDescent="0.25">
      <c r="A723" s="21"/>
      <c r="B723" s="21" t="s">
        <v>784</v>
      </c>
      <c r="C723" s="159" t="s">
        <v>794</v>
      </c>
      <c r="D723" s="161">
        <v>4140</v>
      </c>
      <c r="E723" s="161">
        <v>27</v>
      </c>
      <c r="F723" s="161">
        <v>153</v>
      </c>
      <c r="G723" s="161" t="s">
        <v>795</v>
      </c>
      <c r="H723" s="161" t="s">
        <v>189</v>
      </c>
      <c r="I723" s="161">
        <v>67</v>
      </c>
      <c r="J723" s="161" t="s">
        <v>105</v>
      </c>
      <c r="K723" s="21" t="s">
        <v>106</v>
      </c>
      <c r="L723" s="161" t="s">
        <v>3380</v>
      </c>
      <c r="M723" s="21" t="s">
        <v>568</v>
      </c>
      <c r="N723" s="161" t="s">
        <v>108</v>
      </c>
      <c r="O723" s="21" t="s">
        <v>68</v>
      </c>
      <c r="P723" s="161" t="s">
        <v>109</v>
      </c>
      <c r="Q723" s="21" t="s">
        <v>70</v>
      </c>
      <c r="R723" s="161">
        <v>70</v>
      </c>
      <c r="S723" s="161" t="s">
        <v>173</v>
      </c>
      <c r="T723" s="161" t="s">
        <v>174</v>
      </c>
      <c r="U723" s="161" t="s">
        <v>142</v>
      </c>
      <c r="V723" s="21" t="s">
        <v>74</v>
      </c>
      <c r="W723" s="21" t="s">
        <v>112</v>
      </c>
      <c r="X723" s="161" t="s">
        <v>787</v>
      </c>
      <c r="Y723" s="161">
        <v>5.3949999999999996E-3</v>
      </c>
      <c r="Z723" s="161">
        <v>1.3</v>
      </c>
      <c r="AA723" s="161" t="s">
        <v>144</v>
      </c>
      <c r="AB723" s="161" t="s">
        <v>114</v>
      </c>
      <c r="AC723" s="266" t="str">
        <f>HYPERLINK("https://gcsvt.ru/svetodiodnyie-svetilniki/svt-str-m-27w-30x120/","Ссылка")</f>
        <v>Ссылка</v>
      </c>
      <c r="AD723" s="167">
        <v>5508</v>
      </c>
    </row>
    <row r="724" spans="1:30" s="161" customFormat="1" ht="39.950000000000003" hidden="1" customHeight="1" outlineLevel="2" x14ac:dyDescent="0.25">
      <c r="A724" s="21"/>
      <c r="B724" s="21" t="s">
        <v>784</v>
      </c>
      <c r="C724" s="159" t="s">
        <v>796</v>
      </c>
      <c r="D724" s="161">
        <v>4140</v>
      </c>
      <c r="E724" s="161">
        <v>27</v>
      </c>
      <c r="F724" s="161">
        <v>153</v>
      </c>
      <c r="G724" s="161" t="s">
        <v>797</v>
      </c>
      <c r="H724" s="161" t="s">
        <v>192</v>
      </c>
      <c r="I724" s="161">
        <v>67</v>
      </c>
      <c r="J724" s="161" t="s">
        <v>105</v>
      </c>
      <c r="K724" s="21" t="s">
        <v>106</v>
      </c>
      <c r="L724" s="161" t="s">
        <v>3380</v>
      </c>
      <c r="M724" s="21" t="s">
        <v>568</v>
      </c>
      <c r="N724" s="161" t="s">
        <v>108</v>
      </c>
      <c r="O724" s="21" t="s">
        <v>68</v>
      </c>
      <c r="P724" s="161" t="s">
        <v>109</v>
      </c>
      <c r="Q724" s="21" t="s">
        <v>70</v>
      </c>
      <c r="R724" s="161">
        <v>70</v>
      </c>
      <c r="S724" s="161" t="s">
        <v>173</v>
      </c>
      <c r="T724" s="161" t="s">
        <v>174</v>
      </c>
      <c r="U724" s="161" t="s">
        <v>142</v>
      </c>
      <c r="V724" s="21" t="s">
        <v>74</v>
      </c>
      <c r="W724" s="21" t="s">
        <v>112</v>
      </c>
      <c r="X724" s="161" t="s">
        <v>787</v>
      </c>
      <c r="Y724" s="161">
        <v>5.3949999999999996E-3</v>
      </c>
      <c r="Z724" s="161">
        <v>1.3</v>
      </c>
      <c r="AA724" s="161" t="s">
        <v>144</v>
      </c>
      <c r="AB724" s="161" t="s">
        <v>114</v>
      </c>
      <c r="AC724" s="266" t="str">
        <f>HYPERLINK("https://gcsvt.ru/svetodiodnyie-svetilniki/svt-str-m-27w-vsm/","Ссылка")</f>
        <v>Ссылка</v>
      </c>
      <c r="AD724" s="167">
        <v>5508</v>
      </c>
    </row>
    <row r="725" spans="1:30" s="161" customFormat="1" ht="39.950000000000003" hidden="1" customHeight="1" outlineLevel="2" x14ac:dyDescent="0.25">
      <c r="A725" s="21"/>
      <c r="B725" s="21" t="s">
        <v>784</v>
      </c>
      <c r="C725" s="159" t="s">
        <v>798</v>
      </c>
      <c r="D725" s="161">
        <v>4140</v>
      </c>
      <c r="E725" s="161">
        <v>27</v>
      </c>
      <c r="F725" s="161">
        <v>153</v>
      </c>
      <c r="G725" s="161" t="s">
        <v>799</v>
      </c>
      <c r="H725" s="161" t="s">
        <v>63</v>
      </c>
      <c r="I725" s="161">
        <v>67</v>
      </c>
      <c r="J725" s="161" t="s">
        <v>105</v>
      </c>
      <c r="K725" s="21" t="s">
        <v>106</v>
      </c>
      <c r="L725" s="161" t="s">
        <v>3380</v>
      </c>
      <c r="M725" s="21" t="s">
        <v>568</v>
      </c>
      <c r="N725" s="161" t="s">
        <v>108</v>
      </c>
      <c r="O725" s="21" t="s">
        <v>68</v>
      </c>
      <c r="P725" s="161" t="s">
        <v>109</v>
      </c>
      <c r="Q725" s="21" t="s">
        <v>70</v>
      </c>
      <c r="R725" s="161">
        <v>70</v>
      </c>
      <c r="S725" s="161" t="s">
        <v>173</v>
      </c>
      <c r="T725" s="161" t="s">
        <v>174</v>
      </c>
      <c r="U725" s="161" t="s">
        <v>142</v>
      </c>
      <c r="V725" s="21" t="s">
        <v>74</v>
      </c>
      <c r="W725" s="21" t="s">
        <v>160</v>
      </c>
      <c r="X725" s="161" t="s">
        <v>787</v>
      </c>
      <c r="Y725" s="161">
        <v>5.3949999999999996E-3</v>
      </c>
      <c r="Z725" s="161">
        <v>1.3</v>
      </c>
      <c r="AA725" s="161" t="s">
        <v>144</v>
      </c>
      <c r="AB725" s="161" t="s">
        <v>114</v>
      </c>
      <c r="AC725" s="266" t="str">
        <f>HYPERLINK("https://gcsvt.ru/svetodiodnyie-svetilniki/svt-str-m-27w-45x140-c/","Ссылка")</f>
        <v>Ссылка</v>
      </c>
      <c r="AD725" s="167">
        <v>5508</v>
      </c>
    </row>
    <row r="726" spans="1:30" s="161" customFormat="1" ht="39.950000000000003" hidden="1" customHeight="1" outlineLevel="2" x14ac:dyDescent="0.25">
      <c r="A726" s="21"/>
      <c r="B726" s="21" t="s">
        <v>784</v>
      </c>
      <c r="C726" s="159" t="s">
        <v>800</v>
      </c>
      <c r="D726" s="161">
        <v>4140</v>
      </c>
      <c r="E726" s="161">
        <v>27</v>
      </c>
      <c r="F726" s="161">
        <v>153</v>
      </c>
      <c r="G726" s="161" t="s">
        <v>801</v>
      </c>
      <c r="H726" s="161" t="s">
        <v>63</v>
      </c>
      <c r="I726" s="161">
        <v>67</v>
      </c>
      <c r="J726" s="161" t="s">
        <v>105</v>
      </c>
      <c r="K726" s="21" t="s">
        <v>106</v>
      </c>
      <c r="L726" s="161" t="s">
        <v>3380</v>
      </c>
      <c r="M726" s="21" t="s">
        <v>568</v>
      </c>
      <c r="N726" s="161" t="s">
        <v>108</v>
      </c>
      <c r="O726" s="21" t="s">
        <v>68</v>
      </c>
      <c r="P726" s="161" t="s">
        <v>109</v>
      </c>
      <c r="Q726" s="21" t="s">
        <v>70</v>
      </c>
      <c r="R726" s="161">
        <v>70</v>
      </c>
      <c r="S726" s="161" t="s">
        <v>173</v>
      </c>
      <c r="T726" s="161" t="s">
        <v>174</v>
      </c>
      <c r="U726" s="161" t="s">
        <v>142</v>
      </c>
      <c r="V726" s="21" t="s">
        <v>74</v>
      </c>
      <c r="W726" s="21" t="s">
        <v>112</v>
      </c>
      <c r="X726" s="161" t="s">
        <v>787</v>
      </c>
      <c r="Y726" s="161">
        <v>5.3949999999999996E-3</v>
      </c>
      <c r="Z726" s="161">
        <v>1.3</v>
      </c>
      <c r="AA726" s="161" t="s">
        <v>144</v>
      </c>
      <c r="AB726" s="161" t="s">
        <v>114</v>
      </c>
      <c r="AC726" s="266" t="str">
        <f>HYPERLINK("https://gcsvt.ru/svetodiodnyie-svetilniki/svt-str-m-27w-45x140/","Ссылка")</f>
        <v>Ссылка</v>
      </c>
      <c r="AD726" s="167">
        <v>5508</v>
      </c>
    </row>
    <row r="727" spans="1:30" s="161" customFormat="1" ht="39.950000000000003" hidden="1" customHeight="1" outlineLevel="2" x14ac:dyDescent="0.25">
      <c r="A727" s="21"/>
      <c r="B727" s="21" t="s">
        <v>784</v>
      </c>
      <c r="C727" s="159" t="s">
        <v>802</v>
      </c>
      <c r="D727" s="161">
        <v>4140</v>
      </c>
      <c r="E727" s="161">
        <v>27</v>
      </c>
      <c r="F727" s="161">
        <v>153</v>
      </c>
      <c r="G727" s="161" t="s">
        <v>803</v>
      </c>
      <c r="H727" s="161" t="s">
        <v>177</v>
      </c>
      <c r="I727" s="161">
        <v>67</v>
      </c>
      <c r="J727" s="161" t="s">
        <v>105</v>
      </c>
      <c r="K727" s="21" t="s">
        <v>106</v>
      </c>
      <c r="L727" s="161" t="s">
        <v>3380</v>
      </c>
      <c r="M727" s="21" t="s">
        <v>107</v>
      </c>
      <c r="N727" s="161" t="s">
        <v>108</v>
      </c>
      <c r="O727" s="21" t="s">
        <v>68</v>
      </c>
      <c r="P727" s="161" t="s">
        <v>109</v>
      </c>
      <c r="Q727" s="21" t="s">
        <v>70</v>
      </c>
      <c r="R727" s="161">
        <v>70</v>
      </c>
      <c r="S727" s="161" t="s">
        <v>173</v>
      </c>
      <c r="T727" s="161" t="s">
        <v>174</v>
      </c>
      <c r="U727" s="161" t="s">
        <v>142</v>
      </c>
      <c r="V727" s="21" t="s">
        <v>74</v>
      </c>
      <c r="W727" s="21" t="s">
        <v>112</v>
      </c>
      <c r="X727" s="161" t="s">
        <v>787</v>
      </c>
      <c r="Y727" s="161">
        <v>5.3949999999999996E-3</v>
      </c>
      <c r="Z727" s="161">
        <v>1.3</v>
      </c>
      <c r="AA727" s="161" t="s">
        <v>144</v>
      </c>
      <c r="AB727" s="161" t="s">
        <v>114</v>
      </c>
      <c r="AC727" s="266" t="str">
        <f>HYPERLINK("https://gcsvt.ru/svetodiodnyie-svetilniki/SVT-STR-M-27W-20-s-zashchitoy-ot-380/","Ссылка")</f>
        <v>Ссылка</v>
      </c>
      <c r="AD727" s="167">
        <v>6528</v>
      </c>
    </row>
    <row r="728" spans="1:30" s="161" customFormat="1" ht="39.950000000000003" hidden="1" customHeight="1" outlineLevel="2" x14ac:dyDescent="0.25">
      <c r="A728" s="21"/>
      <c r="B728" s="21" t="s">
        <v>784</v>
      </c>
      <c r="C728" s="159" t="s">
        <v>804</v>
      </c>
      <c r="D728" s="161">
        <v>4140</v>
      </c>
      <c r="E728" s="161">
        <v>27</v>
      </c>
      <c r="F728" s="161">
        <v>153</v>
      </c>
      <c r="G728" s="161" t="s">
        <v>805</v>
      </c>
      <c r="H728" s="161" t="s">
        <v>180</v>
      </c>
      <c r="I728" s="161">
        <v>67</v>
      </c>
      <c r="J728" s="161" t="s">
        <v>105</v>
      </c>
      <c r="K728" s="21" t="s">
        <v>106</v>
      </c>
      <c r="L728" s="161" t="s">
        <v>3380</v>
      </c>
      <c r="M728" s="21" t="s">
        <v>107</v>
      </c>
      <c r="N728" s="161" t="s">
        <v>108</v>
      </c>
      <c r="O728" s="21" t="s">
        <v>68</v>
      </c>
      <c r="P728" s="161" t="s">
        <v>109</v>
      </c>
      <c r="Q728" s="21" t="s">
        <v>70</v>
      </c>
      <c r="R728" s="161">
        <v>70</v>
      </c>
      <c r="S728" s="161" t="s">
        <v>173</v>
      </c>
      <c r="T728" s="161" t="s">
        <v>174</v>
      </c>
      <c r="U728" s="161" t="s">
        <v>142</v>
      </c>
      <c r="V728" s="21" t="s">
        <v>74</v>
      </c>
      <c r="W728" s="21" t="s">
        <v>112</v>
      </c>
      <c r="X728" s="161" t="s">
        <v>787</v>
      </c>
      <c r="Y728" s="161">
        <v>5.3949999999999996E-3</v>
      </c>
      <c r="Z728" s="161">
        <v>1.3</v>
      </c>
      <c r="AA728" s="161" t="s">
        <v>144</v>
      </c>
      <c r="AB728" s="161" t="s">
        <v>114</v>
      </c>
      <c r="AC728" s="266" t="str">
        <f>HYPERLINK("https://gcsvt.ru/svetodiodnyie-svetilniki/SVT-STR-M-27W-35-s-zashchitoy-ot-380/","Ссылка")</f>
        <v>Ссылка</v>
      </c>
      <c r="AD728" s="167">
        <v>6528</v>
      </c>
    </row>
    <row r="729" spans="1:30" s="161" customFormat="1" ht="39.950000000000003" hidden="1" customHeight="1" outlineLevel="2" x14ac:dyDescent="0.25">
      <c r="A729" s="21"/>
      <c r="B729" s="21" t="s">
        <v>784</v>
      </c>
      <c r="C729" s="159" t="s">
        <v>806</v>
      </c>
      <c r="D729" s="161">
        <v>4140</v>
      </c>
      <c r="E729" s="161">
        <v>27</v>
      </c>
      <c r="F729" s="161">
        <v>153</v>
      </c>
      <c r="G729" s="161" t="s">
        <v>807</v>
      </c>
      <c r="H729" s="161" t="s">
        <v>183</v>
      </c>
      <c r="I729" s="161">
        <v>67</v>
      </c>
      <c r="J729" s="161" t="s">
        <v>105</v>
      </c>
      <c r="K729" s="21" t="s">
        <v>106</v>
      </c>
      <c r="L729" s="161" t="s">
        <v>3380</v>
      </c>
      <c r="M729" s="21" t="s">
        <v>107</v>
      </c>
      <c r="N729" s="161" t="s">
        <v>108</v>
      </c>
      <c r="O729" s="21" t="s">
        <v>68</v>
      </c>
      <c r="P729" s="161" t="s">
        <v>109</v>
      </c>
      <c r="Q729" s="21" t="s">
        <v>70</v>
      </c>
      <c r="R729" s="161">
        <v>70</v>
      </c>
      <c r="S729" s="161" t="s">
        <v>173</v>
      </c>
      <c r="T729" s="161" t="s">
        <v>174</v>
      </c>
      <c r="U729" s="161" t="s">
        <v>142</v>
      </c>
      <c r="V729" s="21" t="s">
        <v>74</v>
      </c>
      <c r="W729" s="21" t="s">
        <v>112</v>
      </c>
      <c r="X729" s="161" t="s">
        <v>787</v>
      </c>
      <c r="Y729" s="161">
        <v>5.3949999999999996E-3</v>
      </c>
      <c r="Z729" s="161">
        <v>1.3</v>
      </c>
      <c r="AA729" s="161" t="s">
        <v>144</v>
      </c>
      <c r="AB729" s="161" t="s">
        <v>114</v>
      </c>
      <c r="AC729" s="266" t="str">
        <f>HYPERLINK("https://gcsvt.ru/svetodiodnyie-svetilniki/SVT-STR-M-27W-65-s-zashchitoy-ot-380/","Ссылка")</f>
        <v>Ссылка</v>
      </c>
      <c r="AD729" s="167">
        <v>6528</v>
      </c>
    </row>
    <row r="730" spans="1:30" s="161" customFormat="1" ht="39.950000000000003" hidden="1" customHeight="1" outlineLevel="2" x14ac:dyDescent="0.25">
      <c r="A730" s="21"/>
      <c r="B730" s="21" t="s">
        <v>784</v>
      </c>
      <c r="C730" s="159" t="s">
        <v>808</v>
      </c>
      <c r="D730" s="161">
        <v>4140</v>
      </c>
      <c r="E730" s="161">
        <v>27</v>
      </c>
      <c r="F730" s="161">
        <v>153</v>
      </c>
      <c r="G730" s="161" t="s">
        <v>809</v>
      </c>
      <c r="H730" s="161" t="s">
        <v>186</v>
      </c>
      <c r="I730" s="161">
        <v>67</v>
      </c>
      <c r="J730" s="161" t="s">
        <v>105</v>
      </c>
      <c r="K730" s="21" t="s">
        <v>106</v>
      </c>
      <c r="L730" s="161" t="s">
        <v>3380</v>
      </c>
      <c r="M730" s="21" t="s">
        <v>107</v>
      </c>
      <c r="N730" s="161" t="s">
        <v>108</v>
      </c>
      <c r="O730" s="21" t="s">
        <v>68</v>
      </c>
      <c r="P730" s="161" t="s">
        <v>109</v>
      </c>
      <c r="Q730" s="21" t="s">
        <v>70</v>
      </c>
      <c r="R730" s="161">
        <v>70</v>
      </c>
      <c r="S730" s="161" t="s">
        <v>173</v>
      </c>
      <c r="T730" s="161" t="s">
        <v>174</v>
      </c>
      <c r="U730" s="161" t="s">
        <v>142</v>
      </c>
      <c r="V730" s="21" t="s">
        <v>74</v>
      </c>
      <c r="W730" s="21" t="s">
        <v>112</v>
      </c>
      <c r="X730" s="161" t="s">
        <v>787</v>
      </c>
      <c r="Y730" s="161">
        <v>5.3949999999999996E-3</v>
      </c>
      <c r="Z730" s="161">
        <v>1.3</v>
      </c>
      <c r="AA730" s="161" t="s">
        <v>144</v>
      </c>
      <c r="AB730" s="161" t="s">
        <v>114</v>
      </c>
      <c r="AC730" s="266" t="str">
        <f>HYPERLINK("https://gcsvt.ru/svetodiodnyie-svetilniki/svt-str-m-27w-100-s-zashchitoy-ot-380/","Ссылка")</f>
        <v>Ссылка</v>
      </c>
      <c r="AD730" s="167">
        <v>6528</v>
      </c>
    </row>
    <row r="731" spans="1:30" s="161" customFormat="1" ht="39.950000000000003" hidden="1" customHeight="1" outlineLevel="2" x14ac:dyDescent="0.25">
      <c r="A731" s="21"/>
      <c r="B731" s="21" t="s">
        <v>784</v>
      </c>
      <c r="C731" s="159" t="s">
        <v>810</v>
      </c>
      <c r="D731" s="161">
        <v>4140</v>
      </c>
      <c r="E731" s="161">
        <v>27</v>
      </c>
      <c r="F731" s="161">
        <v>153</v>
      </c>
      <c r="G731" s="161" t="s">
        <v>811</v>
      </c>
      <c r="H731" s="161" t="s">
        <v>189</v>
      </c>
      <c r="I731" s="161">
        <v>67</v>
      </c>
      <c r="J731" s="161" t="s">
        <v>105</v>
      </c>
      <c r="K731" s="21" t="s">
        <v>106</v>
      </c>
      <c r="L731" s="161" t="s">
        <v>3380</v>
      </c>
      <c r="M731" s="21" t="s">
        <v>107</v>
      </c>
      <c r="N731" s="161" t="s">
        <v>108</v>
      </c>
      <c r="O731" s="21" t="s">
        <v>68</v>
      </c>
      <c r="P731" s="161" t="s">
        <v>109</v>
      </c>
      <c r="Q731" s="21" t="s">
        <v>70</v>
      </c>
      <c r="R731" s="161">
        <v>70</v>
      </c>
      <c r="S731" s="161" t="s">
        <v>173</v>
      </c>
      <c r="T731" s="161" t="s">
        <v>174</v>
      </c>
      <c r="U731" s="161" t="s">
        <v>142</v>
      </c>
      <c r="V731" s="21" t="s">
        <v>74</v>
      </c>
      <c r="W731" s="21" t="s">
        <v>112</v>
      </c>
      <c r="X731" s="161" t="s">
        <v>787</v>
      </c>
      <c r="Y731" s="161">
        <v>5.3949999999999996E-3</v>
      </c>
      <c r="Z731" s="161">
        <v>1.3</v>
      </c>
      <c r="AA731" s="161" t="s">
        <v>144</v>
      </c>
      <c r="AB731" s="161" t="s">
        <v>114</v>
      </c>
      <c r="AC731" s="266" t="str">
        <f>HYPERLINK("https://gcsvt.ru/svetodiodnyie-svetilniki/svt-str-m-27w-30x120-s-zashchitoy-ot-380/","Ссылка")</f>
        <v>Ссылка</v>
      </c>
      <c r="AD731" s="167">
        <v>6528</v>
      </c>
    </row>
    <row r="732" spans="1:30" s="161" customFormat="1" ht="39.950000000000003" hidden="1" customHeight="1" outlineLevel="2" x14ac:dyDescent="0.25">
      <c r="A732" s="21"/>
      <c r="B732" s="21" t="s">
        <v>784</v>
      </c>
      <c r="C732" s="159" t="s">
        <v>812</v>
      </c>
      <c r="D732" s="161">
        <v>4140</v>
      </c>
      <c r="E732" s="161">
        <v>27</v>
      </c>
      <c r="F732" s="161">
        <v>153</v>
      </c>
      <c r="G732" s="161" t="s">
        <v>813</v>
      </c>
      <c r="H732" s="161" t="s">
        <v>192</v>
      </c>
      <c r="I732" s="161">
        <v>67</v>
      </c>
      <c r="J732" s="161" t="s">
        <v>105</v>
      </c>
      <c r="K732" s="21" t="s">
        <v>106</v>
      </c>
      <c r="L732" s="161" t="s">
        <v>3380</v>
      </c>
      <c r="M732" s="21" t="s">
        <v>107</v>
      </c>
      <c r="N732" s="161" t="s">
        <v>108</v>
      </c>
      <c r="O732" s="21" t="s">
        <v>68</v>
      </c>
      <c r="P732" s="161" t="s">
        <v>109</v>
      </c>
      <c r="Q732" s="21" t="s">
        <v>70</v>
      </c>
      <c r="R732" s="161">
        <v>70</v>
      </c>
      <c r="S732" s="161" t="s">
        <v>173</v>
      </c>
      <c r="T732" s="161" t="s">
        <v>174</v>
      </c>
      <c r="U732" s="161" t="s">
        <v>142</v>
      </c>
      <c r="V732" s="21" t="s">
        <v>74</v>
      </c>
      <c r="W732" s="21" t="s">
        <v>112</v>
      </c>
      <c r="X732" s="161" t="s">
        <v>787</v>
      </c>
      <c r="Y732" s="161">
        <v>5.3949999999999996E-3</v>
      </c>
      <c r="Z732" s="161">
        <v>1.3</v>
      </c>
      <c r="AA732" s="161" t="s">
        <v>144</v>
      </c>
      <c r="AB732" s="161" t="s">
        <v>114</v>
      </c>
      <c r="AC732" s="266" t="str">
        <f>HYPERLINK("https://gcsvt.ru/svetodiodnyie-svetilniki/svt-str-m-27w-vsm-s-zashchitoy-ot-380/","Ссылка")</f>
        <v>Ссылка</v>
      </c>
      <c r="AD732" s="167">
        <v>6528</v>
      </c>
    </row>
    <row r="733" spans="1:30" s="161" customFormat="1" ht="39.950000000000003" hidden="1" customHeight="1" outlineLevel="2" x14ac:dyDescent="0.25">
      <c r="A733" s="21"/>
      <c r="B733" s="21" t="s">
        <v>784</v>
      </c>
      <c r="C733" s="159" t="s">
        <v>814</v>
      </c>
      <c r="D733" s="161">
        <v>4140</v>
      </c>
      <c r="E733" s="161">
        <v>27</v>
      </c>
      <c r="F733" s="161">
        <v>153</v>
      </c>
      <c r="G733" s="161" t="s">
        <v>815</v>
      </c>
      <c r="H733" s="161" t="s">
        <v>63</v>
      </c>
      <c r="I733" s="161">
        <v>67</v>
      </c>
      <c r="J733" s="161" t="s">
        <v>105</v>
      </c>
      <c r="K733" s="21" t="s">
        <v>106</v>
      </c>
      <c r="L733" s="161" t="s">
        <v>3380</v>
      </c>
      <c r="M733" s="21" t="s">
        <v>107</v>
      </c>
      <c r="N733" s="161" t="s">
        <v>108</v>
      </c>
      <c r="O733" s="21" t="s">
        <v>68</v>
      </c>
      <c r="P733" s="161" t="s">
        <v>109</v>
      </c>
      <c r="Q733" s="21" t="s">
        <v>70</v>
      </c>
      <c r="R733" s="161">
        <v>70</v>
      </c>
      <c r="S733" s="161" t="s">
        <v>173</v>
      </c>
      <c r="T733" s="161" t="s">
        <v>174</v>
      </c>
      <c r="U733" s="161" t="s">
        <v>142</v>
      </c>
      <c r="V733" s="21" t="s">
        <v>74</v>
      </c>
      <c r="W733" s="21" t="s">
        <v>160</v>
      </c>
      <c r="X733" s="161" t="s">
        <v>787</v>
      </c>
      <c r="Y733" s="161">
        <v>5.3949999999999996E-3</v>
      </c>
      <c r="Z733" s="161">
        <v>1.3</v>
      </c>
      <c r="AA733" s="161" t="s">
        <v>144</v>
      </c>
      <c r="AB733" s="161" t="s">
        <v>114</v>
      </c>
      <c r="AC733" s="266" t="str">
        <f>HYPERLINK("https://gcsvt.ru/svetodiodnyie-svetilniki/svt-str-m-27w-45x140-c-s-zashchitoy-ot-380/","Ссылка")</f>
        <v>Ссылка</v>
      </c>
      <c r="AD733" s="167">
        <v>6528</v>
      </c>
    </row>
    <row r="734" spans="1:30" s="161" customFormat="1" ht="39.950000000000003" hidden="1" customHeight="1" outlineLevel="2" x14ac:dyDescent="0.25">
      <c r="A734" s="21"/>
      <c r="B734" s="21" t="s">
        <v>784</v>
      </c>
      <c r="C734" s="159" t="s">
        <v>816</v>
      </c>
      <c r="D734" s="161">
        <v>4140</v>
      </c>
      <c r="E734" s="161">
        <v>27</v>
      </c>
      <c r="F734" s="161">
        <v>153</v>
      </c>
      <c r="G734" s="161" t="s">
        <v>817</v>
      </c>
      <c r="H734" s="161" t="s">
        <v>63</v>
      </c>
      <c r="I734" s="161">
        <v>67</v>
      </c>
      <c r="J734" s="161" t="s">
        <v>105</v>
      </c>
      <c r="K734" s="21" t="s">
        <v>106</v>
      </c>
      <c r="L734" s="161" t="s">
        <v>3380</v>
      </c>
      <c r="M734" s="21" t="s">
        <v>568</v>
      </c>
      <c r="N734" s="161" t="s">
        <v>108</v>
      </c>
      <c r="O734" s="21" t="s">
        <v>68</v>
      </c>
      <c r="P734" s="161" t="s">
        <v>109</v>
      </c>
      <c r="Q734" s="21" t="s">
        <v>70</v>
      </c>
      <c r="R734" s="161">
        <v>70</v>
      </c>
      <c r="S734" s="161" t="s">
        <v>173</v>
      </c>
      <c r="T734" s="161" t="s">
        <v>174</v>
      </c>
      <c r="U734" s="161" t="s">
        <v>142</v>
      </c>
      <c r="V734" s="21" t="s">
        <v>74</v>
      </c>
      <c r="W734" s="21" t="s">
        <v>112</v>
      </c>
      <c r="X734" s="161" t="s">
        <v>787</v>
      </c>
      <c r="Y734" s="161">
        <v>5.3949999999999996E-3</v>
      </c>
      <c r="Z734" s="161">
        <v>1.3</v>
      </c>
      <c r="AA734" s="161" t="s">
        <v>144</v>
      </c>
      <c r="AB734" s="161" t="s">
        <v>114</v>
      </c>
      <c r="AC734" s="266" t="str">
        <f>HYPERLINK("https://gcsvt.ru/svetodiodnyie-svetilniki/svt-str-m-27w-45x140-s-zashchitoy-ot-380/","Ссылка")</f>
        <v>Ссылка</v>
      </c>
      <c r="AD734" s="167">
        <v>6528</v>
      </c>
    </row>
    <row r="735" spans="1:30" s="161" customFormat="1" ht="39.950000000000003" hidden="1" customHeight="1" outlineLevel="2" x14ac:dyDescent="0.25">
      <c r="B735" s="21" t="s">
        <v>784</v>
      </c>
      <c r="C735" s="159" t="s">
        <v>818</v>
      </c>
      <c r="D735" s="161">
        <v>8420</v>
      </c>
      <c r="E735" s="161">
        <v>53</v>
      </c>
      <c r="F735" s="161">
        <v>158</v>
      </c>
      <c r="G735" s="161" t="s">
        <v>819</v>
      </c>
      <c r="H735" s="161" t="s">
        <v>177</v>
      </c>
      <c r="I735" s="161">
        <v>67</v>
      </c>
      <c r="J735" s="161" t="s">
        <v>105</v>
      </c>
      <c r="K735" s="21" t="s">
        <v>106</v>
      </c>
      <c r="L735" s="161" t="s">
        <v>3380</v>
      </c>
      <c r="M735" s="21" t="s">
        <v>568</v>
      </c>
      <c r="N735" s="161" t="s">
        <v>108</v>
      </c>
      <c r="O735" s="21" t="s">
        <v>68</v>
      </c>
      <c r="P735" s="161" t="s">
        <v>109</v>
      </c>
      <c r="Q735" s="21" t="s">
        <v>70</v>
      </c>
      <c r="R735" s="161">
        <v>70</v>
      </c>
      <c r="S735" s="161" t="s">
        <v>197</v>
      </c>
      <c r="T735" s="161" t="s">
        <v>174</v>
      </c>
      <c r="U735" s="161" t="s">
        <v>142</v>
      </c>
      <c r="V735" s="21" t="s">
        <v>74</v>
      </c>
      <c r="W735" s="21" t="s">
        <v>112</v>
      </c>
      <c r="X735" s="161" t="s">
        <v>820</v>
      </c>
      <c r="Y735" s="161">
        <v>1.1440000000000001E-2</v>
      </c>
      <c r="Z735" s="161">
        <v>1.8</v>
      </c>
      <c r="AA735" s="161" t="s">
        <v>144</v>
      </c>
      <c r="AB735" s="161" t="s">
        <v>114</v>
      </c>
      <c r="AC735" s="266" t="str">
        <f>HYPERLINK("https://gcsvt.ru/svetodiodnyie-svetilniki/SVT-STR-M-53W-20/","Ссылка")</f>
        <v>Ссылка</v>
      </c>
      <c r="AD735" s="167">
        <v>8670</v>
      </c>
    </row>
    <row r="736" spans="1:30" s="161" customFormat="1" ht="39.950000000000003" hidden="1" customHeight="1" outlineLevel="2" x14ac:dyDescent="0.25">
      <c r="A736" s="21"/>
      <c r="B736" s="21" t="s">
        <v>784</v>
      </c>
      <c r="C736" s="159" t="s">
        <v>821</v>
      </c>
      <c r="D736" s="161">
        <v>8420</v>
      </c>
      <c r="E736" s="161">
        <v>53</v>
      </c>
      <c r="F736" s="161">
        <v>158</v>
      </c>
      <c r="G736" s="161" t="s">
        <v>822</v>
      </c>
      <c r="H736" s="161" t="s">
        <v>180</v>
      </c>
      <c r="I736" s="161">
        <v>67</v>
      </c>
      <c r="J736" s="161" t="s">
        <v>105</v>
      </c>
      <c r="K736" s="21" t="s">
        <v>106</v>
      </c>
      <c r="L736" s="161" t="s">
        <v>3380</v>
      </c>
      <c r="M736" s="21" t="s">
        <v>568</v>
      </c>
      <c r="N736" s="161" t="s">
        <v>108</v>
      </c>
      <c r="O736" s="21" t="s">
        <v>68</v>
      </c>
      <c r="P736" s="161" t="s">
        <v>109</v>
      </c>
      <c r="Q736" s="21" t="s">
        <v>70</v>
      </c>
      <c r="R736" s="161">
        <v>70</v>
      </c>
      <c r="S736" s="161" t="s">
        <v>197</v>
      </c>
      <c r="T736" s="161" t="s">
        <v>174</v>
      </c>
      <c r="U736" s="161" t="s">
        <v>142</v>
      </c>
      <c r="V736" s="21" t="s">
        <v>74</v>
      </c>
      <c r="W736" s="21" t="s">
        <v>112</v>
      </c>
      <c r="X736" s="161" t="s">
        <v>820</v>
      </c>
      <c r="Y736" s="161">
        <v>1.1440000000000001E-2</v>
      </c>
      <c r="Z736" s="161">
        <v>1.8</v>
      </c>
      <c r="AA736" s="161" t="s">
        <v>144</v>
      </c>
      <c r="AB736" s="161" t="s">
        <v>114</v>
      </c>
      <c r="AC736" s="266" t="str">
        <f>HYPERLINK("https://gcsvt.ru/svetodiodnyie-svetilniki/SVT-STR-M-53W-35/","Ссылка")</f>
        <v>Ссылка</v>
      </c>
      <c r="AD736" s="167">
        <v>8670</v>
      </c>
    </row>
    <row r="737" spans="1:30" s="161" customFormat="1" ht="39.950000000000003" hidden="1" customHeight="1" outlineLevel="2" x14ac:dyDescent="0.25">
      <c r="A737" s="21"/>
      <c r="B737" s="21" t="s">
        <v>784</v>
      </c>
      <c r="C737" s="159" t="s">
        <v>823</v>
      </c>
      <c r="D737" s="161">
        <v>8420</v>
      </c>
      <c r="E737" s="161">
        <v>53</v>
      </c>
      <c r="F737" s="161">
        <v>158</v>
      </c>
      <c r="G737" s="161" t="s">
        <v>824</v>
      </c>
      <c r="H737" s="161" t="s">
        <v>183</v>
      </c>
      <c r="I737" s="161">
        <v>67</v>
      </c>
      <c r="J737" s="161" t="s">
        <v>105</v>
      </c>
      <c r="K737" s="21" t="s">
        <v>106</v>
      </c>
      <c r="L737" s="161" t="s">
        <v>3380</v>
      </c>
      <c r="M737" s="21" t="s">
        <v>568</v>
      </c>
      <c r="N737" s="161" t="s">
        <v>108</v>
      </c>
      <c r="O737" s="21" t="s">
        <v>68</v>
      </c>
      <c r="P737" s="161" t="s">
        <v>109</v>
      </c>
      <c r="Q737" s="21" t="s">
        <v>70</v>
      </c>
      <c r="R737" s="161">
        <v>70</v>
      </c>
      <c r="S737" s="161" t="s">
        <v>197</v>
      </c>
      <c r="T737" s="161" t="s">
        <v>174</v>
      </c>
      <c r="U737" s="161" t="s">
        <v>142</v>
      </c>
      <c r="V737" s="21" t="s">
        <v>74</v>
      </c>
      <c r="W737" s="21" t="s">
        <v>112</v>
      </c>
      <c r="X737" s="161" t="s">
        <v>820</v>
      </c>
      <c r="Y737" s="161">
        <v>1.1440000000000001E-2</v>
      </c>
      <c r="Z737" s="161">
        <v>1.8</v>
      </c>
      <c r="AA737" s="161" t="s">
        <v>144</v>
      </c>
      <c r="AB737" s="161" t="s">
        <v>114</v>
      </c>
      <c r="AC737" s="266" t="str">
        <f>HYPERLINK("https://gcsvt.ru/svetodiodnyie-svetilniki/SVT-STR-M-53W-65/","Ссылка")</f>
        <v>Ссылка</v>
      </c>
      <c r="AD737" s="167">
        <v>8670</v>
      </c>
    </row>
    <row r="738" spans="1:30" s="161" customFormat="1" ht="39.950000000000003" hidden="1" customHeight="1" outlineLevel="2" x14ac:dyDescent="0.25">
      <c r="A738" s="21"/>
      <c r="B738" s="21" t="s">
        <v>784</v>
      </c>
      <c r="C738" s="159" t="s">
        <v>825</v>
      </c>
      <c r="D738" s="161">
        <v>8420</v>
      </c>
      <c r="E738" s="161">
        <v>53</v>
      </c>
      <c r="F738" s="161">
        <v>158</v>
      </c>
      <c r="G738" s="161" t="s">
        <v>826</v>
      </c>
      <c r="H738" s="161" t="s">
        <v>186</v>
      </c>
      <c r="I738" s="161">
        <v>67</v>
      </c>
      <c r="J738" s="161" t="s">
        <v>105</v>
      </c>
      <c r="K738" s="21" t="s">
        <v>106</v>
      </c>
      <c r="L738" s="161" t="s">
        <v>3380</v>
      </c>
      <c r="M738" s="21" t="s">
        <v>568</v>
      </c>
      <c r="N738" s="161" t="s">
        <v>108</v>
      </c>
      <c r="O738" s="21" t="s">
        <v>68</v>
      </c>
      <c r="P738" s="161" t="s">
        <v>109</v>
      </c>
      <c r="Q738" s="21" t="s">
        <v>70</v>
      </c>
      <c r="R738" s="161">
        <v>70</v>
      </c>
      <c r="S738" s="161" t="s">
        <v>197</v>
      </c>
      <c r="T738" s="161" t="s">
        <v>174</v>
      </c>
      <c r="U738" s="161" t="s">
        <v>142</v>
      </c>
      <c r="V738" s="21" t="s">
        <v>74</v>
      </c>
      <c r="W738" s="21" t="s">
        <v>112</v>
      </c>
      <c r="X738" s="161" t="s">
        <v>820</v>
      </c>
      <c r="Y738" s="161">
        <v>1.1440000000000001E-2</v>
      </c>
      <c r="Z738" s="161">
        <v>1.8</v>
      </c>
      <c r="AA738" s="161" t="s">
        <v>144</v>
      </c>
      <c r="AB738" s="161" t="s">
        <v>114</v>
      </c>
      <c r="AC738" s="266" t="str">
        <f>HYPERLINK("https://gcsvt.ru/svetodiodnyie-svetilniki/svt-str-m-53w-100/","Ссылка")</f>
        <v>Ссылка</v>
      </c>
      <c r="AD738" s="167">
        <v>8670</v>
      </c>
    </row>
    <row r="739" spans="1:30" s="161" customFormat="1" ht="39.950000000000003" hidden="1" customHeight="1" outlineLevel="2" x14ac:dyDescent="0.25">
      <c r="A739" s="21"/>
      <c r="B739" s="21" t="s">
        <v>784</v>
      </c>
      <c r="C739" s="159" t="s">
        <v>827</v>
      </c>
      <c r="D739" s="161">
        <v>8420</v>
      </c>
      <c r="E739" s="161">
        <v>53</v>
      </c>
      <c r="F739" s="161">
        <v>158</v>
      </c>
      <c r="G739" s="161" t="s">
        <v>828</v>
      </c>
      <c r="H739" s="161" t="s">
        <v>189</v>
      </c>
      <c r="I739" s="161">
        <v>67</v>
      </c>
      <c r="J739" s="161" t="s">
        <v>105</v>
      </c>
      <c r="K739" s="21" t="s">
        <v>106</v>
      </c>
      <c r="L739" s="161" t="s">
        <v>3380</v>
      </c>
      <c r="M739" s="21" t="s">
        <v>568</v>
      </c>
      <c r="N739" s="161" t="s">
        <v>108</v>
      </c>
      <c r="O739" s="21" t="s">
        <v>68</v>
      </c>
      <c r="P739" s="161" t="s">
        <v>109</v>
      </c>
      <c r="Q739" s="21" t="s">
        <v>70</v>
      </c>
      <c r="R739" s="161">
        <v>70</v>
      </c>
      <c r="S739" s="161" t="s">
        <v>197</v>
      </c>
      <c r="T739" s="161" t="s">
        <v>174</v>
      </c>
      <c r="U739" s="161" t="s">
        <v>142</v>
      </c>
      <c r="V739" s="21" t="s">
        <v>74</v>
      </c>
      <c r="W739" s="21" t="s">
        <v>112</v>
      </c>
      <c r="X739" s="161" t="s">
        <v>820</v>
      </c>
      <c r="Y739" s="161">
        <v>1.1440000000000001E-2</v>
      </c>
      <c r="Z739" s="161">
        <v>1.8</v>
      </c>
      <c r="AA739" s="161" t="s">
        <v>144</v>
      </c>
      <c r="AB739" s="161" t="s">
        <v>114</v>
      </c>
      <c r="AC739" s="266" t="str">
        <f>HYPERLINK("https://gcsvt.ru/svetodiodnyie-svetilniki/svt-str-m-53w-30x120/","Ссылка")</f>
        <v>Ссылка</v>
      </c>
      <c r="AD739" s="167">
        <v>8670</v>
      </c>
    </row>
    <row r="740" spans="1:30" s="161" customFormat="1" ht="39.950000000000003" hidden="1" customHeight="1" outlineLevel="2" x14ac:dyDescent="0.25">
      <c r="A740" s="21"/>
      <c r="B740" s="21" t="s">
        <v>784</v>
      </c>
      <c r="C740" s="159" t="s">
        <v>829</v>
      </c>
      <c r="D740" s="161">
        <v>8420</v>
      </c>
      <c r="E740" s="161">
        <v>53</v>
      </c>
      <c r="F740" s="161">
        <v>158</v>
      </c>
      <c r="G740" s="161" t="s">
        <v>830</v>
      </c>
      <c r="H740" s="161" t="s">
        <v>192</v>
      </c>
      <c r="I740" s="161">
        <v>67</v>
      </c>
      <c r="J740" s="161" t="s">
        <v>105</v>
      </c>
      <c r="K740" s="21" t="s">
        <v>106</v>
      </c>
      <c r="L740" s="161" t="s">
        <v>3380</v>
      </c>
      <c r="M740" s="21" t="s">
        <v>568</v>
      </c>
      <c r="N740" s="161" t="s">
        <v>108</v>
      </c>
      <c r="O740" s="21" t="s">
        <v>68</v>
      </c>
      <c r="P740" s="161" t="s">
        <v>109</v>
      </c>
      <c r="Q740" s="21" t="s">
        <v>70</v>
      </c>
      <c r="R740" s="161">
        <v>70</v>
      </c>
      <c r="S740" s="161" t="s">
        <v>197</v>
      </c>
      <c r="T740" s="161" t="s">
        <v>174</v>
      </c>
      <c r="U740" s="161" t="s">
        <v>142</v>
      </c>
      <c r="V740" s="21" t="s">
        <v>74</v>
      </c>
      <c r="W740" s="21" t="s">
        <v>112</v>
      </c>
      <c r="X740" s="161" t="s">
        <v>820</v>
      </c>
      <c r="Y740" s="161">
        <v>1.1440000000000001E-2</v>
      </c>
      <c r="Z740" s="161">
        <v>1.8</v>
      </c>
      <c r="AA740" s="161" t="s">
        <v>144</v>
      </c>
      <c r="AB740" s="161" t="s">
        <v>114</v>
      </c>
      <c r="AC740" s="266" t="str">
        <f>HYPERLINK("https://gcsvt.ru/svetodiodnyie-svetilniki/svt-str-m-53w-vsm/","Ссылка")</f>
        <v>Ссылка</v>
      </c>
      <c r="AD740" s="167">
        <v>8670</v>
      </c>
    </row>
    <row r="741" spans="1:30" s="161" customFormat="1" ht="39.950000000000003" hidden="1" customHeight="1" outlineLevel="2" x14ac:dyDescent="0.25">
      <c r="A741" s="21"/>
      <c r="B741" s="21" t="s">
        <v>784</v>
      </c>
      <c r="C741" s="159" t="s">
        <v>831</v>
      </c>
      <c r="D741" s="161">
        <v>8420</v>
      </c>
      <c r="E741" s="161">
        <v>53</v>
      </c>
      <c r="F741" s="161">
        <v>158</v>
      </c>
      <c r="G741" s="161" t="s">
        <v>832</v>
      </c>
      <c r="H741" s="161" t="s">
        <v>63</v>
      </c>
      <c r="I741" s="161">
        <v>67</v>
      </c>
      <c r="J741" s="161" t="s">
        <v>105</v>
      </c>
      <c r="K741" s="21" t="s">
        <v>106</v>
      </c>
      <c r="L741" s="161" t="s">
        <v>3380</v>
      </c>
      <c r="M741" s="21" t="s">
        <v>568</v>
      </c>
      <c r="N741" s="161" t="s">
        <v>108</v>
      </c>
      <c r="O741" s="21" t="s">
        <v>68</v>
      </c>
      <c r="P741" s="161" t="s">
        <v>109</v>
      </c>
      <c r="Q741" s="21" t="s">
        <v>70</v>
      </c>
      <c r="R741" s="161">
        <v>70</v>
      </c>
      <c r="S741" s="161" t="s">
        <v>197</v>
      </c>
      <c r="T741" s="161" t="s">
        <v>174</v>
      </c>
      <c r="U741" s="161" t="s">
        <v>142</v>
      </c>
      <c r="V741" s="21" t="s">
        <v>74</v>
      </c>
      <c r="W741" s="21" t="s">
        <v>160</v>
      </c>
      <c r="X741" s="161" t="s">
        <v>820</v>
      </c>
      <c r="Y741" s="161">
        <v>1.1440000000000001E-2</v>
      </c>
      <c r="Z741" s="161">
        <v>1.8</v>
      </c>
      <c r="AA741" s="161" t="s">
        <v>144</v>
      </c>
      <c r="AB741" s="161" t="s">
        <v>114</v>
      </c>
      <c r="AC741" s="266" t="str">
        <f>HYPERLINK("https://gcsvt.ru/svetodiodnyie-svetilniki/svt-str-m-53w-45x140-c/","Ссылка")</f>
        <v>Ссылка</v>
      </c>
      <c r="AD741" s="167">
        <v>8670</v>
      </c>
    </row>
    <row r="742" spans="1:30" s="161" customFormat="1" ht="39.950000000000003" hidden="1" customHeight="1" outlineLevel="2" x14ac:dyDescent="0.25">
      <c r="A742" s="21"/>
      <c r="B742" s="21" t="s">
        <v>784</v>
      </c>
      <c r="C742" s="159" t="s">
        <v>833</v>
      </c>
      <c r="D742" s="161">
        <v>8420</v>
      </c>
      <c r="E742" s="161">
        <v>53</v>
      </c>
      <c r="F742" s="161">
        <v>158</v>
      </c>
      <c r="G742" s="161" t="s">
        <v>834</v>
      </c>
      <c r="H742" s="161" t="s">
        <v>63</v>
      </c>
      <c r="I742" s="161">
        <v>67</v>
      </c>
      <c r="J742" s="161" t="s">
        <v>105</v>
      </c>
      <c r="K742" s="21" t="s">
        <v>106</v>
      </c>
      <c r="L742" s="161" t="s">
        <v>3380</v>
      </c>
      <c r="M742" s="21" t="s">
        <v>568</v>
      </c>
      <c r="N742" s="161" t="s">
        <v>108</v>
      </c>
      <c r="O742" s="21" t="s">
        <v>68</v>
      </c>
      <c r="P742" s="161" t="s">
        <v>109</v>
      </c>
      <c r="Q742" s="21" t="s">
        <v>70</v>
      </c>
      <c r="R742" s="161">
        <v>70</v>
      </c>
      <c r="S742" s="161" t="s">
        <v>197</v>
      </c>
      <c r="T742" s="161" t="s">
        <v>174</v>
      </c>
      <c r="U742" s="161" t="s">
        <v>142</v>
      </c>
      <c r="V742" s="21" t="s">
        <v>74</v>
      </c>
      <c r="W742" s="21" t="s">
        <v>112</v>
      </c>
      <c r="X742" s="161" t="s">
        <v>820</v>
      </c>
      <c r="Y742" s="161">
        <v>1.1440000000000001E-2</v>
      </c>
      <c r="Z742" s="161">
        <v>1.8</v>
      </c>
      <c r="AA742" s="161" t="s">
        <v>144</v>
      </c>
      <c r="AB742" s="161" t="s">
        <v>114</v>
      </c>
      <c r="AC742" s="266" t="str">
        <f>HYPERLINK("https://gcsvt.ru/svetodiodnyie-svetilniki/svt-str-m-53w-45x140/","Ссылка")</f>
        <v>Ссылка</v>
      </c>
      <c r="AD742" s="167">
        <v>8670</v>
      </c>
    </row>
    <row r="743" spans="1:30" s="161" customFormat="1" ht="39.950000000000003" hidden="1" customHeight="1" outlineLevel="2" x14ac:dyDescent="0.25">
      <c r="A743" s="21"/>
      <c r="B743" s="21" t="s">
        <v>784</v>
      </c>
      <c r="C743" s="159" t="s">
        <v>835</v>
      </c>
      <c r="D743" s="161">
        <v>8420</v>
      </c>
      <c r="E743" s="161">
        <v>53</v>
      </c>
      <c r="F743" s="161">
        <v>158</v>
      </c>
      <c r="G743" s="161" t="s">
        <v>836</v>
      </c>
      <c r="H743" s="161" t="s">
        <v>177</v>
      </c>
      <c r="I743" s="161">
        <v>67</v>
      </c>
      <c r="J743" s="161" t="s">
        <v>105</v>
      </c>
      <c r="K743" s="21" t="s">
        <v>106</v>
      </c>
      <c r="L743" s="161" t="s">
        <v>3380</v>
      </c>
      <c r="M743" s="21" t="s">
        <v>107</v>
      </c>
      <c r="N743" s="161" t="s">
        <v>108</v>
      </c>
      <c r="O743" s="21" t="s">
        <v>68</v>
      </c>
      <c r="P743" s="161" t="s">
        <v>109</v>
      </c>
      <c r="Q743" s="21" t="s">
        <v>70</v>
      </c>
      <c r="R743" s="161">
        <v>70</v>
      </c>
      <c r="S743" s="161" t="s">
        <v>197</v>
      </c>
      <c r="T743" s="161" t="s">
        <v>174</v>
      </c>
      <c r="U743" s="161" t="s">
        <v>142</v>
      </c>
      <c r="V743" s="21" t="s">
        <v>74</v>
      </c>
      <c r="W743" s="21" t="s">
        <v>112</v>
      </c>
      <c r="X743" s="161" t="s">
        <v>820</v>
      </c>
      <c r="Y743" s="161">
        <v>1.1440000000000001E-2</v>
      </c>
      <c r="Z743" s="161">
        <v>1.8</v>
      </c>
      <c r="AA743" s="161" t="s">
        <v>144</v>
      </c>
      <c r="AB743" s="161" t="s">
        <v>114</v>
      </c>
      <c r="AC743" s="266" t="str">
        <f>HYPERLINK("https://gcsvt.ru/svetodiodnyie-svetilniki/SVT-STR-M-53W-20-s-zashchitoy-ot-380/","Ссылка")</f>
        <v>Ссылка</v>
      </c>
      <c r="AD743" s="167">
        <v>9078</v>
      </c>
    </row>
    <row r="744" spans="1:30" s="161" customFormat="1" ht="39.950000000000003" hidden="1" customHeight="1" outlineLevel="2" x14ac:dyDescent="0.25">
      <c r="A744" s="21"/>
      <c r="B744" s="21" t="s">
        <v>784</v>
      </c>
      <c r="C744" s="159" t="s">
        <v>837</v>
      </c>
      <c r="D744" s="161">
        <v>8420</v>
      </c>
      <c r="E744" s="161">
        <v>53</v>
      </c>
      <c r="F744" s="161">
        <v>158</v>
      </c>
      <c r="G744" s="161" t="s">
        <v>838</v>
      </c>
      <c r="H744" s="161" t="s">
        <v>180</v>
      </c>
      <c r="I744" s="161">
        <v>67</v>
      </c>
      <c r="J744" s="161" t="s">
        <v>105</v>
      </c>
      <c r="K744" s="21" t="s">
        <v>106</v>
      </c>
      <c r="L744" s="161" t="s">
        <v>3380</v>
      </c>
      <c r="M744" s="21" t="s">
        <v>107</v>
      </c>
      <c r="N744" s="161" t="s">
        <v>108</v>
      </c>
      <c r="O744" s="21" t="s">
        <v>68</v>
      </c>
      <c r="P744" s="161" t="s">
        <v>109</v>
      </c>
      <c r="Q744" s="21" t="s">
        <v>70</v>
      </c>
      <c r="R744" s="161">
        <v>70</v>
      </c>
      <c r="S744" s="161" t="s">
        <v>197</v>
      </c>
      <c r="T744" s="161" t="s">
        <v>174</v>
      </c>
      <c r="U744" s="161" t="s">
        <v>142</v>
      </c>
      <c r="V744" s="21" t="s">
        <v>74</v>
      </c>
      <c r="W744" s="21" t="s">
        <v>112</v>
      </c>
      <c r="X744" s="161" t="s">
        <v>820</v>
      </c>
      <c r="Y744" s="161">
        <v>1.1440000000000001E-2</v>
      </c>
      <c r="Z744" s="161">
        <v>1.8</v>
      </c>
      <c r="AA744" s="161" t="s">
        <v>144</v>
      </c>
      <c r="AB744" s="161" t="s">
        <v>114</v>
      </c>
      <c r="AC744" s="266" t="str">
        <f>HYPERLINK("https://gcsvt.ru/svetodiodnyie-svetilniki/SVT-STR-M-53W-35-s-zashchitoy-ot-380/","Ссылка")</f>
        <v>Ссылка</v>
      </c>
      <c r="AD744" s="167">
        <v>9078</v>
      </c>
    </row>
    <row r="745" spans="1:30" s="161" customFormat="1" ht="39.950000000000003" hidden="1" customHeight="1" outlineLevel="2" x14ac:dyDescent="0.25">
      <c r="A745" s="21"/>
      <c r="B745" s="21" t="s">
        <v>784</v>
      </c>
      <c r="C745" s="159" t="s">
        <v>839</v>
      </c>
      <c r="D745" s="161">
        <v>8420</v>
      </c>
      <c r="E745" s="161">
        <v>53</v>
      </c>
      <c r="F745" s="161">
        <v>158</v>
      </c>
      <c r="G745" s="161" t="s">
        <v>840</v>
      </c>
      <c r="H745" s="161" t="s">
        <v>183</v>
      </c>
      <c r="I745" s="161">
        <v>67</v>
      </c>
      <c r="J745" s="161" t="s">
        <v>105</v>
      </c>
      <c r="K745" s="21" t="s">
        <v>106</v>
      </c>
      <c r="L745" s="161" t="s">
        <v>3380</v>
      </c>
      <c r="M745" s="21" t="s">
        <v>107</v>
      </c>
      <c r="N745" s="161" t="s">
        <v>108</v>
      </c>
      <c r="O745" s="21" t="s">
        <v>68</v>
      </c>
      <c r="P745" s="161" t="s">
        <v>109</v>
      </c>
      <c r="Q745" s="21" t="s">
        <v>70</v>
      </c>
      <c r="R745" s="161">
        <v>70</v>
      </c>
      <c r="S745" s="161" t="s">
        <v>197</v>
      </c>
      <c r="T745" s="161" t="s">
        <v>174</v>
      </c>
      <c r="U745" s="161" t="s">
        <v>142</v>
      </c>
      <c r="V745" s="21" t="s">
        <v>74</v>
      </c>
      <c r="W745" s="21" t="s">
        <v>112</v>
      </c>
      <c r="X745" s="161" t="s">
        <v>820</v>
      </c>
      <c r="Y745" s="161">
        <v>1.1440000000000001E-2</v>
      </c>
      <c r="Z745" s="161">
        <v>1.8</v>
      </c>
      <c r="AA745" s="161" t="s">
        <v>144</v>
      </c>
      <c r="AB745" s="161" t="s">
        <v>114</v>
      </c>
      <c r="AC745" s="266" t="str">
        <f>HYPERLINK("https://gcsvt.ru/svetodiodnyie-svetilniki/SVT-STR-M-53W-65-s-zashchitoy-ot-380/","Ссылка")</f>
        <v>Ссылка</v>
      </c>
      <c r="AD745" s="167">
        <v>9078</v>
      </c>
    </row>
    <row r="746" spans="1:30" s="161" customFormat="1" ht="39.950000000000003" hidden="1" customHeight="1" outlineLevel="2" x14ac:dyDescent="0.25">
      <c r="A746" s="21"/>
      <c r="B746" s="21" t="s">
        <v>784</v>
      </c>
      <c r="C746" s="159" t="s">
        <v>841</v>
      </c>
      <c r="D746" s="161">
        <v>8420</v>
      </c>
      <c r="E746" s="161">
        <v>53</v>
      </c>
      <c r="F746" s="161">
        <v>158</v>
      </c>
      <c r="G746" s="161" t="s">
        <v>842</v>
      </c>
      <c r="H746" s="161" t="s">
        <v>186</v>
      </c>
      <c r="I746" s="161">
        <v>67</v>
      </c>
      <c r="J746" s="161" t="s">
        <v>105</v>
      </c>
      <c r="K746" s="21" t="s">
        <v>106</v>
      </c>
      <c r="L746" s="161" t="s">
        <v>3380</v>
      </c>
      <c r="M746" s="21" t="s">
        <v>107</v>
      </c>
      <c r="N746" s="161" t="s">
        <v>108</v>
      </c>
      <c r="O746" s="21" t="s">
        <v>68</v>
      </c>
      <c r="P746" s="161" t="s">
        <v>109</v>
      </c>
      <c r="Q746" s="21" t="s">
        <v>70</v>
      </c>
      <c r="R746" s="161">
        <v>70</v>
      </c>
      <c r="S746" s="161" t="s">
        <v>197</v>
      </c>
      <c r="T746" s="161" t="s">
        <v>174</v>
      </c>
      <c r="U746" s="161" t="s">
        <v>142</v>
      </c>
      <c r="V746" s="21" t="s">
        <v>74</v>
      </c>
      <c r="W746" s="21" t="s">
        <v>112</v>
      </c>
      <c r="X746" s="161" t="s">
        <v>820</v>
      </c>
      <c r="Y746" s="161">
        <v>1.1440000000000001E-2</v>
      </c>
      <c r="Z746" s="161">
        <v>1.8</v>
      </c>
      <c r="AA746" s="161" t="s">
        <v>144</v>
      </c>
      <c r="AB746" s="161" t="s">
        <v>114</v>
      </c>
      <c r="AC746" s="266" t="str">
        <f>HYPERLINK("https://gcsvt.ru/svetodiodnyie-svetilniki/svt-str-m-53w-100-s-zashchitoy-ot-380/","Ссылка")</f>
        <v>Ссылка</v>
      </c>
      <c r="AD746" s="167">
        <v>9078</v>
      </c>
    </row>
    <row r="747" spans="1:30" s="161" customFormat="1" ht="39.950000000000003" hidden="1" customHeight="1" outlineLevel="2" x14ac:dyDescent="0.25">
      <c r="A747" s="21"/>
      <c r="B747" s="21" t="s">
        <v>784</v>
      </c>
      <c r="C747" s="159" t="s">
        <v>843</v>
      </c>
      <c r="D747" s="161">
        <v>8420</v>
      </c>
      <c r="E747" s="161">
        <v>53</v>
      </c>
      <c r="F747" s="161">
        <v>158</v>
      </c>
      <c r="G747" s="161" t="s">
        <v>844</v>
      </c>
      <c r="H747" s="161" t="s">
        <v>189</v>
      </c>
      <c r="I747" s="161">
        <v>67</v>
      </c>
      <c r="J747" s="161" t="s">
        <v>105</v>
      </c>
      <c r="K747" s="21" t="s">
        <v>106</v>
      </c>
      <c r="L747" s="161" t="s">
        <v>3380</v>
      </c>
      <c r="M747" s="21" t="s">
        <v>107</v>
      </c>
      <c r="N747" s="161" t="s">
        <v>108</v>
      </c>
      <c r="O747" s="21" t="s">
        <v>68</v>
      </c>
      <c r="P747" s="161" t="s">
        <v>109</v>
      </c>
      <c r="Q747" s="21" t="s">
        <v>70</v>
      </c>
      <c r="R747" s="161">
        <v>70</v>
      </c>
      <c r="S747" s="161" t="s">
        <v>197</v>
      </c>
      <c r="T747" s="161" t="s">
        <v>174</v>
      </c>
      <c r="U747" s="161" t="s">
        <v>142</v>
      </c>
      <c r="V747" s="21" t="s">
        <v>74</v>
      </c>
      <c r="W747" s="21" t="s">
        <v>112</v>
      </c>
      <c r="X747" s="161" t="s">
        <v>820</v>
      </c>
      <c r="Y747" s="161">
        <v>1.1440000000000001E-2</v>
      </c>
      <c r="Z747" s="161">
        <v>1.8</v>
      </c>
      <c r="AA747" s="161" t="s">
        <v>144</v>
      </c>
      <c r="AB747" s="161" t="s">
        <v>114</v>
      </c>
      <c r="AC747" s="266" t="str">
        <f>HYPERLINK("https://gcsvt.ru/svetodiodnyie-svetilniki/svt-str-m-53w-30x120-s-zashchitoy-ot-380/","Ссылка")</f>
        <v>Ссылка</v>
      </c>
      <c r="AD747" s="167">
        <v>9078</v>
      </c>
    </row>
    <row r="748" spans="1:30" s="161" customFormat="1" ht="39.950000000000003" hidden="1" customHeight="1" outlineLevel="2" x14ac:dyDescent="0.25">
      <c r="A748" s="21"/>
      <c r="B748" s="21" t="s">
        <v>784</v>
      </c>
      <c r="C748" s="159" t="s">
        <v>845</v>
      </c>
      <c r="D748" s="161">
        <v>8420</v>
      </c>
      <c r="E748" s="161">
        <v>53</v>
      </c>
      <c r="F748" s="161">
        <v>158</v>
      </c>
      <c r="G748" s="161" t="s">
        <v>846</v>
      </c>
      <c r="H748" s="161" t="s">
        <v>192</v>
      </c>
      <c r="I748" s="161">
        <v>67</v>
      </c>
      <c r="J748" s="161" t="s">
        <v>105</v>
      </c>
      <c r="K748" s="21" t="s">
        <v>106</v>
      </c>
      <c r="L748" s="161" t="s">
        <v>3380</v>
      </c>
      <c r="M748" s="21" t="s">
        <v>107</v>
      </c>
      <c r="N748" s="161" t="s">
        <v>108</v>
      </c>
      <c r="O748" s="21" t="s">
        <v>68</v>
      </c>
      <c r="P748" s="161" t="s">
        <v>109</v>
      </c>
      <c r="Q748" s="21" t="s">
        <v>70</v>
      </c>
      <c r="R748" s="161">
        <v>70</v>
      </c>
      <c r="S748" s="161" t="s">
        <v>197</v>
      </c>
      <c r="T748" s="161" t="s">
        <v>174</v>
      </c>
      <c r="U748" s="161" t="s">
        <v>142</v>
      </c>
      <c r="V748" s="21" t="s">
        <v>74</v>
      </c>
      <c r="W748" s="21" t="s">
        <v>112</v>
      </c>
      <c r="X748" s="161" t="s">
        <v>820</v>
      </c>
      <c r="Y748" s="161">
        <v>1.1440000000000001E-2</v>
      </c>
      <c r="Z748" s="161">
        <v>1.8</v>
      </c>
      <c r="AA748" s="161" t="s">
        <v>144</v>
      </c>
      <c r="AB748" s="161" t="s">
        <v>114</v>
      </c>
      <c r="AC748" s="266" t="str">
        <f>HYPERLINK("https://gcsvt.ru/svetodiodnyie-svetilniki/svt-str-m-53w-vsm-s-zashchitoy-ot-380/","Ссылка")</f>
        <v>Ссылка</v>
      </c>
      <c r="AD748" s="167">
        <v>9078</v>
      </c>
    </row>
    <row r="749" spans="1:30" s="161" customFormat="1" ht="39.950000000000003" hidden="1" customHeight="1" outlineLevel="2" x14ac:dyDescent="0.25">
      <c r="A749" s="21"/>
      <c r="B749" s="21" t="s">
        <v>784</v>
      </c>
      <c r="C749" s="159" t="s">
        <v>847</v>
      </c>
      <c r="D749" s="161">
        <v>8420</v>
      </c>
      <c r="E749" s="161">
        <v>53</v>
      </c>
      <c r="F749" s="161">
        <v>158</v>
      </c>
      <c r="G749" s="161" t="s">
        <v>848</v>
      </c>
      <c r="H749" s="161" t="s">
        <v>63</v>
      </c>
      <c r="I749" s="161">
        <v>67</v>
      </c>
      <c r="J749" s="161" t="s">
        <v>105</v>
      </c>
      <c r="K749" s="21" t="s">
        <v>106</v>
      </c>
      <c r="L749" s="161" t="s">
        <v>3380</v>
      </c>
      <c r="M749" s="21" t="s">
        <v>107</v>
      </c>
      <c r="N749" s="161" t="s">
        <v>108</v>
      </c>
      <c r="O749" s="21" t="s">
        <v>68</v>
      </c>
      <c r="P749" s="161" t="s">
        <v>109</v>
      </c>
      <c r="Q749" s="21" t="s">
        <v>70</v>
      </c>
      <c r="R749" s="161">
        <v>70</v>
      </c>
      <c r="S749" s="161" t="s">
        <v>197</v>
      </c>
      <c r="T749" s="161" t="s">
        <v>174</v>
      </c>
      <c r="U749" s="161" t="s">
        <v>142</v>
      </c>
      <c r="V749" s="21" t="s">
        <v>74</v>
      </c>
      <c r="W749" s="21" t="s">
        <v>160</v>
      </c>
      <c r="X749" s="161" t="s">
        <v>820</v>
      </c>
      <c r="Y749" s="161">
        <v>1.1440000000000001E-2</v>
      </c>
      <c r="Z749" s="161">
        <v>1.8</v>
      </c>
      <c r="AA749" s="161" t="s">
        <v>144</v>
      </c>
      <c r="AB749" s="161" t="s">
        <v>114</v>
      </c>
      <c r="AC749" s="266" t="str">
        <f>HYPERLINK("https://gcsvt.ru/svetodiodnyie-svetilniki/svt-str-m-53w-45x140-c-s-zashchitoy-ot-380/","Ссылка")</f>
        <v>Ссылка</v>
      </c>
      <c r="AD749" s="167">
        <v>9078</v>
      </c>
    </row>
    <row r="750" spans="1:30" s="161" customFormat="1" ht="39.950000000000003" hidden="1" customHeight="1" outlineLevel="2" x14ac:dyDescent="0.25">
      <c r="A750" s="21"/>
      <c r="B750" s="21" t="s">
        <v>784</v>
      </c>
      <c r="C750" s="159" t="s">
        <v>849</v>
      </c>
      <c r="D750" s="161">
        <v>8420</v>
      </c>
      <c r="E750" s="161">
        <v>53</v>
      </c>
      <c r="F750" s="161">
        <v>158</v>
      </c>
      <c r="G750" s="161" t="s">
        <v>850</v>
      </c>
      <c r="H750" s="161" t="s">
        <v>63</v>
      </c>
      <c r="I750" s="161">
        <v>67</v>
      </c>
      <c r="J750" s="161" t="s">
        <v>105</v>
      </c>
      <c r="K750" s="21" t="s">
        <v>106</v>
      </c>
      <c r="L750" s="161" t="s">
        <v>3380</v>
      </c>
      <c r="M750" s="21" t="s">
        <v>107</v>
      </c>
      <c r="N750" s="161" t="s">
        <v>108</v>
      </c>
      <c r="O750" s="21" t="s">
        <v>68</v>
      </c>
      <c r="P750" s="161" t="s">
        <v>109</v>
      </c>
      <c r="Q750" s="21" t="s">
        <v>70</v>
      </c>
      <c r="R750" s="161">
        <v>70</v>
      </c>
      <c r="S750" s="161" t="s">
        <v>197</v>
      </c>
      <c r="T750" s="161" t="s">
        <v>174</v>
      </c>
      <c r="U750" s="161" t="s">
        <v>142</v>
      </c>
      <c r="V750" s="21" t="s">
        <v>74</v>
      </c>
      <c r="W750" s="21" t="s">
        <v>112</v>
      </c>
      <c r="X750" s="161" t="s">
        <v>820</v>
      </c>
      <c r="Y750" s="161">
        <v>1.1440000000000001E-2</v>
      </c>
      <c r="Z750" s="161">
        <v>1.8</v>
      </c>
      <c r="AA750" s="161" t="s">
        <v>144</v>
      </c>
      <c r="AB750" s="161" t="s">
        <v>114</v>
      </c>
      <c r="AC750" s="266" t="str">
        <f>HYPERLINK("https://gcsvt.ru/svetodiodnyie-svetilniki/svt-str-m-53w-45x140-s-zashchitoy-ot-380/","Ссылка")</f>
        <v>Ссылка</v>
      </c>
      <c r="AD750" s="167">
        <v>9078</v>
      </c>
    </row>
    <row r="751" spans="1:30" s="161" customFormat="1" ht="39.950000000000003" hidden="1" customHeight="1" outlineLevel="2" x14ac:dyDescent="0.25">
      <c r="A751" s="21"/>
      <c r="B751" s="21" t="s">
        <v>784</v>
      </c>
      <c r="C751" s="159" t="s">
        <v>851</v>
      </c>
      <c r="D751" s="161">
        <v>11950</v>
      </c>
      <c r="E751" s="161">
        <v>79</v>
      </c>
      <c r="F751" s="161">
        <v>151</v>
      </c>
      <c r="G751" s="161" t="s">
        <v>852</v>
      </c>
      <c r="H751" s="161" t="s">
        <v>177</v>
      </c>
      <c r="I751" s="161">
        <v>67</v>
      </c>
      <c r="J751" s="161" t="s">
        <v>105</v>
      </c>
      <c r="K751" s="21" t="s">
        <v>106</v>
      </c>
      <c r="L751" s="161" t="s">
        <v>3380</v>
      </c>
      <c r="M751" s="21" t="s">
        <v>157</v>
      </c>
      <c r="N751" s="161" t="s">
        <v>67</v>
      </c>
      <c r="O751" s="21" t="s">
        <v>68</v>
      </c>
      <c r="P751" s="161" t="s">
        <v>109</v>
      </c>
      <c r="Q751" s="21" t="s">
        <v>70</v>
      </c>
      <c r="R751" s="161">
        <v>70</v>
      </c>
      <c r="S751" s="161" t="s">
        <v>216</v>
      </c>
      <c r="T751" s="161" t="s">
        <v>174</v>
      </c>
      <c r="U751" s="161" t="s">
        <v>73</v>
      </c>
      <c r="V751" s="21" t="s">
        <v>74</v>
      </c>
      <c r="W751" s="21" t="s">
        <v>112</v>
      </c>
      <c r="X751" s="161" t="s">
        <v>853</v>
      </c>
      <c r="Y751" s="161">
        <v>1.6951999999999998E-2</v>
      </c>
      <c r="Z751" s="161">
        <v>2.6</v>
      </c>
      <c r="AA751" s="161" t="s">
        <v>77</v>
      </c>
      <c r="AB751" s="161" t="s">
        <v>114</v>
      </c>
      <c r="AC751" s="266" t="str">
        <f>HYPERLINK("https://gcsvt.ru/svetodiodnyie-svetilniki/SVT-STR-M-79W-20/","Ссылка")</f>
        <v>Ссылка</v>
      </c>
      <c r="AD751" s="167">
        <v>13668</v>
      </c>
    </row>
    <row r="752" spans="1:30" s="161" customFormat="1" ht="39.950000000000003" hidden="1" customHeight="1" outlineLevel="2" x14ac:dyDescent="0.25">
      <c r="A752" s="21"/>
      <c r="B752" s="21" t="s">
        <v>784</v>
      </c>
      <c r="C752" s="159" t="s">
        <v>854</v>
      </c>
      <c r="D752" s="161">
        <v>11950</v>
      </c>
      <c r="E752" s="161">
        <v>79</v>
      </c>
      <c r="F752" s="161">
        <v>151</v>
      </c>
      <c r="G752" s="161" t="s">
        <v>855</v>
      </c>
      <c r="H752" s="161" t="s">
        <v>180</v>
      </c>
      <c r="I752" s="161">
        <v>67</v>
      </c>
      <c r="J752" s="161" t="s">
        <v>105</v>
      </c>
      <c r="K752" s="21" t="s">
        <v>106</v>
      </c>
      <c r="L752" s="161" t="s">
        <v>3380</v>
      </c>
      <c r="M752" s="21" t="s">
        <v>157</v>
      </c>
      <c r="N752" s="161" t="s">
        <v>67</v>
      </c>
      <c r="O752" s="21" t="s">
        <v>68</v>
      </c>
      <c r="P752" s="161" t="s">
        <v>109</v>
      </c>
      <c r="Q752" s="21" t="s">
        <v>70</v>
      </c>
      <c r="R752" s="161">
        <v>70</v>
      </c>
      <c r="S752" s="161" t="s">
        <v>216</v>
      </c>
      <c r="T752" s="161" t="s">
        <v>174</v>
      </c>
      <c r="U752" s="161" t="s">
        <v>73</v>
      </c>
      <c r="V752" s="21" t="s">
        <v>74</v>
      </c>
      <c r="W752" s="21" t="s">
        <v>112</v>
      </c>
      <c r="X752" s="161" t="s">
        <v>853</v>
      </c>
      <c r="Y752" s="161">
        <v>1.6951999999999998E-2</v>
      </c>
      <c r="Z752" s="161">
        <v>2.6</v>
      </c>
      <c r="AA752" s="161" t="s">
        <v>77</v>
      </c>
      <c r="AB752" s="161" t="s">
        <v>114</v>
      </c>
      <c r="AC752" s="266" t="str">
        <f>HYPERLINK("https://gcsvt.ru/svetodiodnyie-svetilniki/SVT-STR-M-79W-35/","Ссылка")</f>
        <v>Ссылка</v>
      </c>
      <c r="AD752" s="167">
        <v>13668</v>
      </c>
    </row>
    <row r="753" spans="1:30" s="161" customFormat="1" ht="39.950000000000003" hidden="1" customHeight="1" outlineLevel="2" x14ac:dyDescent="0.25">
      <c r="A753" s="21"/>
      <c r="B753" s="21" t="s">
        <v>784</v>
      </c>
      <c r="C753" s="159" t="s">
        <v>856</v>
      </c>
      <c r="D753" s="161">
        <v>11950</v>
      </c>
      <c r="E753" s="161">
        <v>79</v>
      </c>
      <c r="F753" s="161">
        <v>151</v>
      </c>
      <c r="G753" s="161" t="s">
        <v>857</v>
      </c>
      <c r="H753" s="161" t="s">
        <v>183</v>
      </c>
      <c r="I753" s="161">
        <v>67</v>
      </c>
      <c r="J753" s="161" t="s">
        <v>105</v>
      </c>
      <c r="K753" s="21" t="s">
        <v>106</v>
      </c>
      <c r="L753" s="161" t="s">
        <v>3380</v>
      </c>
      <c r="M753" s="21" t="s">
        <v>157</v>
      </c>
      <c r="N753" s="161" t="s">
        <v>67</v>
      </c>
      <c r="O753" s="21" t="s">
        <v>68</v>
      </c>
      <c r="P753" s="161" t="s">
        <v>109</v>
      </c>
      <c r="Q753" s="21" t="s">
        <v>70</v>
      </c>
      <c r="R753" s="161">
        <v>70</v>
      </c>
      <c r="S753" s="161" t="s">
        <v>216</v>
      </c>
      <c r="T753" s="161" t="s">
        <v>174</v>
      </c>
      <c r="U753" s="161" t="s">
        <v>73</v>
      </c>
      <c r="V753" s="21" t="s">
        <v>74</v>
      </c>
      <c r="W753" s="21" t="s">
        <v>112</v>
      </c>
      <c r="X753" s="161" t="s">
        <v>853</v>
      </c>
      <c r="Y753" s="161">
        <v>1.6951999999999998E-2</v>
      </c>
      <c r="Z753" s="161">
        <v>2.6</v>
      </c>
      <c r="AA753" s="161" t="s">
        <v>77</v>
      </c>
      <c r="AB753" s="161" t="s">
        <v>114</v>
      </c>
      <c r="AC753" s="266" t="str">
        <f>HYPERLINK("https://gcsvt.ru/svetodiodnyie-svetilniki/SVT-STR-M-79W-65/","Ссылка")</f>
        <v>Ссылка</v>
      </c>
      <c r="AD753" s="167">
        <v>13668</v>
      </c>
    </row>
    <row r="754" spans="1:30" s="161" customFormat="1" ht="39.950000000000003" hidden="1" customHeight="1" outlineLevel="2" x14ac:dyDescent="0.25">
      <c r="A754" s="21"/>
      <c r="B754" s="21" t="s">
        <v>784</v>
      </c>
      <c r="C754" s="159" t="s">
        <v>858</v>
      </c>
      <c r="D754" s="161">
        <v>11950</v>
      </c>
      <c r="E754" s="161">
        <v>79</v>
      </c>
      <c r="F754" s="161">
        <v>151</v>
      </c>
      <c r="G754" s="161" t="s">
        <v>859</v>
      </c>
      <c r="H754" s="161" t="s">
        <v>186</v>
      </c>
      <c r="I754" s="161">
        <v>67</v>
      </c>
      <c r="J754" s="161" t="s">
        <v>105</v>
      </c>
      <c r="K754" s="21" t="s">
        <v>106</v>
      </c>
      <c r="L754" s="161" t="s">
        <v>3380</v>
      </c>
      <c r="M754" s="21" t="s">
        <v>157</v>
      </c>
      <c r="N754" s="161" t="s">
        <v>67</v>
      </c>
      <c r="O754" s="21" t="s">
        <v>68</v>
      </c>
      <c r="P754" s="161" t="s">
        <v>109</v>
      </c>
      <c r="Q754" s="21" t="s">
        <v>70</v>
      </c>
      <c r="R754" s="161">
        <v>70</v>
      </c>
      <c r="S754" s="161" t="s">
        <v>216</v>
      </c>
      <c r="T754" s="161" t="s">
        <v>174</v>
      </c>
      <c r="U754" s="161" t="s">
        <v>73</v>
      </c>
      <c r="V754" s="21" t="s">
        <v>74</v>
      </c>
      <c r="W754" s="21" t="s">
        <v>112</v>
      </c>
      <c r="X754" s="161" t="s">
        <v>853</v>
      </c>
      <c r="Y754" s="161">
        <v>1.6951999999999998E-2</v>
      </c>
      <c r="Z754" s="161">
        <v>2.6</v>
      </c>
      <c r="AA754" s="161" t="s">
        <v>77</v>
      </c>
      <c r="AB754" s="161" t="s">
        <v>114</v>
      </c>
      <c r="AC754" s="266" t="str">
        <f>HYPERLINK("https://gcsvt.ru/svetodiodnyie-svetilniki/svt-str-m-79w-100/","Ссылка")</f>
        <v>Ссылка</v>
      </c>
      <c r="AD754" s="167">
        <v>13668</v>
      </c>
    </row>
    <row r="755" spans="1:30" s="161" customFormat="1" ht="39.950000000000003" hidden="1" customHeight="1" outlineLevel="2" x14ac:dyDescent="0.25">
      <c r="A755" s="21"/>
      <c r="B755" s="21" t="s">
        <v>784</v>
      </c>
      <c r="C755" s="159" t="s">
        <v>860</v>
      </c>
      <c r="D755" s="161">
        <v>11950</v>
      </c>
      <c r="E755" s="161">
        <v>79</v>
      </c>
      <c r="F755" s="161">
        <v>151</v>
      </c>
      <c r="G755" s="161" t="s">
        <v>861</v>
      </c>
      <c r="H755" s="161" t="s">
        <v>189</v>
      </c>
      <c r="I755" s="161">
        <v>67</v>
      </c>
      <c r="J755" s="161" t="s">
        <v>105</v>
      </c>
      <c r="K755" s="21" t="s">
        <v>106</v>
      </c>
      <c r="L755" s="161" t="s">
        <v>3380</v>
      </c>
      <c r="M755" s="21" t="s">
        <v>157</v>
      </c>
      <c r="N755" s="161" t="s">
        <v>67</v>
      </c>
      <c r="O755" s="21" t="s">
        <v>68</v>
      </c>
      <c r="P755" s="161" t="s">
        <v>109</v>
      </c>
      <c r="Q755" s="21" t="s">
        <v>70</v>
      </c>
      <c r="R755" s="161">
        <v>70</v>
      </c>
      <c r="S755" s="161" t="s">
        <v>216</v>
      </c>
      <c r="T755" s="161" t="s">
        <v>174</v>
      </c>
      <c r="U755" s="161" t="s">
        <v>73</v>
      </c>
      <c r="V755" s="21" t="s">
        <v>74</v>
      </c>
      <c r="W755" s="21" t="s">
        <v>112</v>
      </c>
      <c r="X755" s="161" t="s">
        <v>853</v>
      </c>
      <c r="Y755" s="161">
        <v>1.6951999999999998E-2</v>
      </c>
      <c r="Z755" s="161">
        <v>2.6</v>
      </c>
      <c r="AA755" s="161" t="s">
        <v>77</v>
      </c>
      <c r="AB755" s="161" t="s">
        <v>114</v>
      </c>
      <c r="AC755" s="266" t="str">
        <f>HYPERLINK("https://gcsvt.ru/svetodiodnyie-svetilniki/svt-str-m-79w-30x120/","Ссылка")</f>
        <v>Ссылка</v>
      </c>
      <c r="AD755" s="167">
        <v>13668</v>
      </c>
    </row>
    <row r="756" spans="1:30" s="161" customFormat="1" ht="39.950000000000003" hidden="1" customHeight="1" outlineLevel="2" x14ac:dyDescent="0.25">
      <c r="A756" s="21"/>
      <c r="B756" s="21" t="s">
        <v>784</v>
      </c>
      <c r="C756" s="159" t="s">
        <v>862</v>
      </c>
      <c r="D756" s="161">
        <v>11950</v>
      </c>
      <c r="E756" s="161">
        <v>79</v>
      </c>
      <c r="F756" s="161">
        <v>151</v>
      </c>
      <c r="G756" s="161" t="s">
        <v>863</v>
      </c>
      <c r="H756" s="161" t="s">
        <v>192</v>
      </c>
      <c r="I756" s="161">
        <v>67</v>
      </c>
      <c r="J756" s="161" t="s">
        <v>105</v>
      </c>
      <c r="K756" s="21" t="s">
        <v>106</v>
      </c>
      <c r="L756" s="161" t="s">
        <v>3380</v>
      </c>
      <c r="M756" s="21" t="s">
        <v>157</v>
      </c>
      <c r="N756" s="161" t="s">
        <v>67</v>
      </c>
      <c r="O756" s="21" t="s">
        <v>68</v>
      </c>
      <c r="P756" s="161" t="s">
        <v>109</v>
      </c>
      <c r="Q756" s="21" t="s">
        <v>70</v>
      </c>
      <c r="R756" s="161">
        <v>70</v>
      </c>
      <c r="S756" s="161" t="s">
        <v>216</v>
      </c>
      <c r="T756" s="161" t="s">
        <v>174</v>
      </c>
      <c r="U756" s="161" t="s">
        <v>73</v>
      </c>
      <c r="V756" s="21" t="s">
        <v>74</v>
      </c>
      <c r="W756" s="21" t="s">
        <v>112</v>
      </c>
      <c r="X756" s="161" t="s">
        <v>853</v>
      </c>
      <c r="Y756" s="161">
        <v>1.6951999999999998E-2</v>
      </c>
      <c r="Z756" s="161">
        <v>2.6</v>
      </c>
      <c r="AA756" s="161" t="s">
        <v>77</v>
      </c>
      <c r="AB756" s="161" t="s">
        <v>114</v>
      </c>
      <c r="AC756" s="266" t="str">
        <f>HYPERLINK("https://gcsvt.ru/svetodiodnyie-svetilniki/svt-str-m-79w-vsm/","Ссылка")</f>
        <v>Ссылка</v>
      </c>
      <c r="AD756" s="167">
        <v>13668</v>
      </c>
    </row>
    <row r="757" spans="1:30" s="161" customFormat="1" ht="39.950000000000003" hidden="1" customHeight="1" outlineLevel="2" x14ac:dyDescent="0.25">
      <c r="A757" s="21"/>
      <c r="B757" s="21" t="s">
        <v>784</v>
      </c>
      <c r="C757" s="159" t="s">
        <v>864</v>
      </c>
      <c r="D757" s="161">
        <v>11950</v>
      </c>
      <c r="E757" s="161">
        <v>79</v>
      </c>
      <c r="F757" s="161">
        <v>151</v>
      </c>
      <c r="G757" s="161" t="s">
        <v>865</v>
      </c>
      <c r="H757" s="161" t="s">
        <v>63</v>
      </c>
      <c r="I757" s="161">
        <v>67</v>
      </c>
      <c r="J757" s="161" t="s">
        <v>105</v>
      </c>
      <c r="K757" s="21" t="s">
        <v>106</v>
      </c>
      <c r="L757" s="161" t="s">
        <v>3380</v>
      </c>
      <c r="M757" s="21" t="s">
        <v>157</v>
      </c>
      <c r="N757" s="161" t="s">
        <v>67</v>
      </c>
      <c r="O757" s="21" t="s">
        <v>68</v>
      </c>
      <c r="P757" s="161" t="s">
        <v>109</v>
      </c>
      <c r="Q757" s="21" t="s">
        <v>70</v>
      </c>
      <c r="R757" s="161">
        <v>70</v>
      </c>
      <c r="S757" s="161" t="s">
        <v>216</v>
      </c>
      <c r="T757" s="161" t="s">
        <v>174</v>
      </c>
      <c r="U757" s="161" t="s">
        <v>73</v>
      </c>
      <c r="V757" s="21" t="s">
        <v>74</v>
      </c>
      <c r="W757" s="21" t="s">
        <v>160</v>
      </c>
      <c r="X757" s="161" t="s">
        <v>853</v>
      </c>
      <c r="Y757" s="161">
        <v>1.6951999999999998E-2</v>
      </c>
      <c r="Z757" s="161">
        <v>2.6</v>
      </c>
      <c r="AA757" s="161" t="s">
        <v>77</v>
      </c>
      <c r="AB757" s="161" t="s">
        <v>114</v>
      </c>
      <c r="AC757" s="266" t="str">
        <f>HYPERLINK("https://gcsvt.ru/svetodiodnyie-svetilniki/svt-str-m-79w-45x140-c/","Ссылка")</f>
        <v>Ссылка</v>
      </c>
      <c r="AD757" s="167">
        <v>13668</v>
      </c>
    </row>
    <row r="758" spans="1:30" s="161" customFormat="1" ht="39.950000000000003" hidden="1" customHeight="1" outlineLevel="2" x14ac:dyDescent="0.25">
      <c r="A758" s="21"/>
      <c r="B758" s="21" t="s">
        <v>784</v>
      </c>
      <c r="C758" s="159" t="s">
        <v>866</v>
      </c>
      <c r="D758" s="161">
        <v>11950</v>
      </c>
      <c r="E758" s="161">
        <v>79</v>
      </c>
      <c r="F758" s="161">
        <v>151</v>
      </c>
      <c r="G758" s="161" t="s">
        <v>867</v>
      </c>
      <c r="H758" s="161" t="s">
        <v>63</v>
      </c>
      <c r="I758" s="161">
        <v>67</v>
      </c>
      <c r="J758" s="161" t="s">
        <v>105</v>
      </c>
      <c r="K758" s="21" t="s">
        <v>106</v>
      </c>
      <c r="L758" s="161" t="s">
        <v>3380</v>
      </c>
      <c r="M758" s="21" t="s">
        <v>157</v>
      </c>
      <c r="N758" s="161" t="s">
        <v>67</v>
      </c>
      <c r="O758" s="21" t="s">
        <v>68</v>
      </c>
      <c r="P758" s="161" t="s">
        <v>109</v>
      </c>
      <c r="Q758" s="21" t="s">
        <v>70</v>
      </c>
      <c r="R758" s="161">
        <v>70</v>
      </c>
      <c r="S758" s="161" t="s">
        <v>216</v>
      </c>
      <c r="T758" s="161" t="s">
        <v>174</v>
      </c>
      <c r="U758" s="161" t="s">
        <v>73</v>
      </c>
      <c r="V758" s="21" t="s">
        <v>74</v>
      </c>
      <c r="W758" s="21" t="s">
        <v>112</v>
      </c>
      <c r="X758" s="161" t="s">
        <v>853</v>
      </c>
      <c r="Y758" s="161">
        <v>1.6951999999999998E-2</v>
      </c>
      <c r="Z758" s="161">
        <v>2.6</v>
      </c>
      <c r="AA758" s="161" t="s">
        <v>77</v>
      </c>
      <c r="AB758" s="161" t="s">
        <v>114</v>
      </c>
      <c r="AC758" s="266" t="str">
        <f>HYPERLINK("https://gcsvt.ru/svetodiodnyie-svetilniki/svt-str-m-79w-45x140/","Ссылка")</f>
        <v>Ссылка</v>
      </c>
      <c r="AD758" s="167">
        <v>13668</v>
      </c>
    </row>
    <row r="759" spans="1:30" s="161" customFormat="1" ht="39.950000000000003" hidden="1" customHeight="1" outlineLevel="1" collapsed="1" x14ac:dyDescent="0.25">
      <c r="A759" s="165"/>
      <c r="B759" s="217" t="s">
        <v>631</v>
      </c>
      <c r="C759" s="218"/>
      <c r="K759" s="21"/>
      <c r="M759" s="21"/>
      <c r="O759" s="21"/>
      <c r="Q759" s="21"/>
      <c r="V759" s="21"/>
      <c r="W759" s="21"/>
      <c r="AC759" s="228"/>
      <c r="AD759" s="167"/>
    </row>
    <row r="760" spans="1:30" s="161" customFormat="1" ht="39.950000000000003" hidden="1" customHeight="1" outlineLevel="2" x14ac:dyDescent="0.25">
      <c r="A760" s="21"/>
      <c r="B760" s="21" t="s">
        <v>631</v>
      </c>
      <c r="C760" s="159" t="s">
        <v>632</v>
      </c>
      <c r="D760" s="161">
        <v>9680</v>
      </c>
      <c r="E760" s="161">
        <v>64</v>
      </c>
      <c r="F760" s="161">
        <v>151</v>
      </c>
      <c r="G760" s="161" t="s">
        <v>633</v>
      </c>
      <c r="H760" s="161" t="s">
        <v>138</v>
      </c>
      <c r="I760" s="161">
        <v>67</v>
      </c>
      <c r="J760" s="161" t="s">
        <v>105</v>
      </c>
      <c r="K760" s="21" t="s">
        <v>106</v>
      </c>
      <c r="L760" s="161" t="s">
        <v>3380</v>
      </c>
      <c r="M760" s="21" t="s">
        <v>568</v>
      </c>
      <c r="N760" s="161" t="s">
        <v>108</v>
      </c>
      <c r="O760" s="21" t="s">
        <v>139</v>
      </c>
      <c r="P760" s="161" t="s">
        <v>109</v>
      </c>
      <c r="Q760" s="21" t="s">
        <v>70</v>
      </c>
      <c r="R760" s="161">
        <v>80</v>
      </c>
      <c r="S760" s="161" t="s">
        <v>634</v>
      </c>
      <c r="T760" s="161" t="s">
        <v>141</v>
      </c>
      <c r="U760" s="161" t="s">
        <v>142</v>
      </c>
      <c r="V760" s="21" t="s">
        <v>74</v>
      </c>
      <c r="W760" s="21" t="s">
        <v>112</v>
      </c>
      <c r="X760" s="161" t="s">
        <v>635</v>
      </c>
      <c r="Y760" s="161">
        <v>1.176E-2</v>
      </c>
      <c r="Z760" s="161">
        <v>1.8</v>
      </c>
      <c r="AA760" s="161" t="s">
        <v>144</v>
      </c>
      <c r="AB760" s="161" t="s">
        <v>114</v>
      </c>
      <c r="AC760" s="266" t="str">
        <f>HYPERLINK("https://gcsvt.ru/svetodiodnyie-svetilniki/svt-str-m-32w-duo/","Ссылка")</f>
        <v>Ссылка</v>
      </c>
      <c r="AD760" s="167">
        <v>9384</v>
      </c>
    </row>
    <row r="761" spans="1:30" s="161" customFormat="1" ht="39.950000000000003" hidden="1" customHeight="1" outlineLevel="2" x14ac:dyDescent="0.25">
      <c r="A761" s="21"/>
      <c r="B761" s="21" t="s">
        <v>631</v>
      </c>
      <c r="C761" s="159" t="s">
        <v>636</v>
      </c>
      <c r="D761" s="161">
        <v>9680</v>
      </c>
      <c r="E761" s="161">
        <v>64</v>
      </c>
      <c r="F761" s="161">
        <v>151</v>
      </c>
      <c r="G761" s="161" t="s">
        <v>637</v>
      </c>
      <c r="H761" s="161" t="s">
        <v>138</v>
      </c>
      <c r="I761" s="161">
        <v>67</v>
      </c>
      <c r="J761" s="161" t="s">
        <v>105</v>
      </c>
      <c r="K761" s="21" t="s">
        <v>106</v>
      </c>
      <c r="L761" s="161" t="s">
        <v>3380</v>
      </c>
      <c r="M761" s="21" t="s">
        <v>568</v>
      </c>
      <c r="N761" s="161" t="s">
        <v>108</v>
      </c>
      <c r="O761" s="21" t="s">
        <v>139</v>
      </c>
      <c r="P761" s="161" t="s">
        <v>109</v>
      </c>
      <c r="Q761" s="21" t="s">
        <v>70</v>
      </c>
      <c r="R761" s="161">
        <v>80</v>
      </c>
      <c r="S761" s="161" t="s">
        <v>634</v>
      </c>
      <c r="T761" s="161" t="s">
        <v>141</v>
      </c>
      <c r="U761" s="161" t="s">
        <v>142</v>
      </c>
      <c r="V761" s="21" t="s">
        <v>74</v>
      </c>
      <c r="W761" s="21" t="s">
        <v>160</v>
      </c>
      <c r="X761" s="161" t="s">
        <v>638</v>
      </c>
      <c r="Y761" s="161">
        <v>1.0500000000000001E-2</v>
      </c>
      <c r="Z761" s="161">
        <v>1.8</v>
      </c>
      <c r="AA761" s="161" t="s">
        <v>144</v>
      </c>
      <c r="AB761" s="161" t="s">
        <v>114</v>
      </c>
      <c r="AC761" s="266" t="str">
        <f>HYPERLINK("https://gcsvt.ru/svetodiodnyie-svetilniki/svt-str-m-32w-duo-c/","Ссылка")</f>
        <v>Ссылка</v>
      </c>
      <c r="AD761" s="167">
        <v>9384</v>
      </c>
    </row>
    <row r="762" spans="1:30" s="161" customFormat="1" ht="39.950000000000003" hidden="1" customHeight="1" outlineLevel="2" x14ac:dyDescent="0.25">
      <c r="A762" s="21"/>
      <c r="B762" s="21" t="s">
        <v>631</v>
      </c>
      <c r="C762" s="159" t="s">
        <v>639</v>
      </c>
      <c r="D762" s="161">
        <v>9680</v>
      </c>
      <c r="E762" s="161">
        <v>64</v>
      </c>
      <c r="F762" s="161">
        <v>151</v>
      </c>
      <c r="G762" s="161" t="s">
        <v>640</v>
      </c>
      <c r="H762" s="161" t="s">
        <v>641</v>
      </c>
      <c r="I762" s="161">
        <v>67</v>
      </c>
      <c r="J762" s="161" t="s">
        <v>105</v>
      </c>
      <c r="K762" s="21" t="s">
        <v>106</v>
      </c>
      <c r="L762" s="161" t="s">
        <v>3380</v>
      </c>
      <c r="M762" s="21" t="s">
        <v>568</v>
      </c>
      <c r="N762" s="161" t="s">
        <v>108</v>
      </c>
      <c r="O762" s="21" t="s">
        <v>139</v>
      </c>
      <c r="P762" s="161" t="s">
        <v>109</v>
      </c>
      <c r="Q762" s="21" t="s">
        <v>70</v>
      </c>
      <c r="R762" s="161">
        <v>80</v>
      </c>
      <c r="S762" s="161" t="s">
        <v>634</v>
      </c>
      <c r="T762" s="161" t="s">
        <v>141</v>
      </c>
      <c r="U762" s="161" t="s">
        <v>142</v>
      </c>
      <c r="V762" s="21" t="s">
        <v>74</v>
      </c>
      <c r="W762" s="21" t="s">
        <v>112</v>
      </c>
      <c r="X762" s="161" t="s">
        <v>635</v>
      </c>
      <c r="Y762" s="161">
        <v>1.0500000000000001E-2</v>
      </c>
      <c r="Z762" s="161">
        <v>1.8</v>
      </c>
      <c r="AA762" s="161" t="s">
        <v>144</v>
      </c>
      <c r="AB762" s="161" t="s">
        <v>114</v>
      </c>
      <c r="AC762" s="266" t="str">
        <f>HYPERLINK("https://gcsvt.ru/svetodiodnyie-svetilniki/svt-str-m-32w-duo90/","Ссылка")</f>
        <v>Ссылка</v>
      </c>
      <c r="AD762" s="167">
        <v>9588</v>
      </c>
    </row>
    <row r="763" spans="1:30" s="161" customFormat="1" ht="39.950000000000003" hidden="1" customHeight="1" outlineLevel="2" x14ac:dyDescent="0.25">
      <c r="A763" s="21"/>
      <c r="B763" s="21" t="s">
        <v>631</v>
      </c>
      <c r="C763" s="159" t="s">
        <v>642</v>
      </c>
      <c r="D763" s="161">
        <v>9680</v>
      </c>
      <c r="E763" s="161">
        <v>64</v>
      </c>
      <c r="F763" s="161">
        <v>151</v>
      </c>
      <c r="G763" s="161" t="s">
        <v>643</v>
      </c>
      <c r="H763" s="161" t="s">
        <v>641</v>
      </c>
      <c r="I763" s="161">
        <v>67</v>
      </c>
      <c r="J763" s="161" t="s">
        <v>105</v>
      </c>
      <c r="K763" s="21" t="s">
        <v>106</v>
      </c>
      <c r="L763" s="161" t="s">
        <v>3380</v>
      </c>
      <c r="M763" s="21" t="s">
        <v>568</v>
      </c>
      <c r="N763" s="161" t="s">
        <v>108</v>
      </c>
      <c r="O763" s="21" t="s">
        <v>139</v>
      </c>
      <c r="P763" s="161" t="s">
        <v>109</v>
      </c>
      <c r="Q763" s="21" t="s">
        <v>70</v>
      </c>
      <c r="R763" s="161">
        <v>80</v>
      </c>
      <c r="S763" s="161" t="s">
        <v>634</v>
      </c>
      <c r="T763" s="161" t="s">
        <v>141</v>
      </c>
      <c r="U763" s="161" t="s">
        <v>142</v>
      </c>
      <c r="V763" s="21" t="s">
        <v>74</v>
      </c>
      <c r="W763" s="21" t="s">
        <v>160</v>
      </c>
      <c r="X763" s="161" t="s">
        <v>644</v>
      </c>
      <c r="Y763" s="161">
        <v>1.9199999999999998E-2</v>
      </c>
      <c r="Z763" s="161">
        <v>1.8</v>
      </c>
      <c r="AA763" s="161" t="s">
        <v>144</v>
      </c>
      <c r="AB763" s="161" t="s">
        <v>114</v>
      </c>
      <c r="AC763" s="266" t="str">
        <f>HYPERLINK("https://gcsvt.ru/svetodiodnyie-svetilniki/svt-str-m-32w-duo90-c/","Ссылка")</f>
        <v>Ссылка</v>
      </c>
      <c r="AD763" s="167">
        <v>9588</v>
      </c>
    </row>
    <row r="764" spans="1:30" s="161" customFormat="1" ht="39.950000000000003" hidden="1" customHeight="1" outlineLevel="2" x14ac:dyDescent="0.25">
      <c r="A764" s="21"/>
      <c r="B764" s="21" t="s">
        <v>631</v>
      </c>
      <c r="C764" s="159" t="s">
        <v>645</v>
      </c>
      <c r="D764" s="161">
        <v>14520</v>
      </c>
      <c r="E764" s="161">
        <v>96</v>
      </c>
      <c r="F764" s="161">
        <v>151</v>
      </c>
      <c r="G764" s="161" t="s">
        <v>646</v>
      </c>
      <c r="H764" s="161" t="s">
        <v>138</v>
      </c>
      <c r="I764" s="161">
        <v>67</v>
      </c>
      <c r="J764" s="161" t="s">
        <v>105</v>
      </c>
      <c r="K764" s="21" t="s">
        <v>106</v>
      </c>
      <c r="L764" s="161" t="s">
        <v>3380</v>
      </c>
      <c r="M764" s="21" t="s">
        <v>568</v>
      </c>
      <c r="N764" s="161" t="s">
        <v>108</v>
      </c>
      <c r="O764" s="21" t="s">
        <v>139</v>
      </c>
      <c r="P764" s="161" t="s">
        <v>109</v>
      </c>
      <c r="Q764" s="21" t="s">
        <v>70</v>
      </c>
      <c r="R764" s="161">
        <v>80</v>
      </c>
      <c r="S764" s="161" t="s">
        <v>647</v>
      </c>
      <c r="T764" s="161" t="s">
        <v>141</v>
      </c>
      <c r="U764" s="161" t="s">
        <v>142</v>
      </c>
      <c r="V764" s="21" t="s">
        <v>74</v>
      </c>
      <c r="W764" s="21" t="s">
        <v>112</v>
      </c>
      <c r="X764" s="161" t="s">
        <v>648</v>
      </c>
      <c r="Y764" s="161">
        <v>1.554E-2</v>
      </c>
      <c r="Z764" s="161">
        <v>2.6</v>
      </c>
      <c r="AA764" s="161" t="s">
        <v>144</v>
      </c>
      <c r="AB764" s="161" t="s">
        <v>114</v>
      </c>
      <c r="AC764" s="266" t="str">
        <f>HYPERLINK("https://gcsvt.ru/svetodiodnyie-svetilniki/svt-str-m-32w-trio/","Ссылка")</f>
        <v>Ссылка</v>
      </c>
      <c r="AD764" s="167">
        <v>14076</v>
      </c>
    </row>
    <row r="765" spans="1:30" s="161" customFormat="1" ht="39.950000000000003" hidden="1" customHeight="1" outlineLevel="2" x14ac:dyDescent="0.25">
      <c r="A765" s="21"/>
      <c r="B765" s="21" t="s">
        <v>631</v>
      </c>
      <c r="C765" s="159" t="s">
        <v>649</v>
      </c>
      <c r="D765" s="161">
        <v>14520</v>
      </c>
      <c r="E765" s="161">
        <v>96</v>
      </c>
      <c r="F765" s="161">
        <v>151</v>
      </c>
      <c r="G765" s="161" t="s">
        <v>650</v>
      </c>
      <c r="H765" s="161" t="s">
        <v>138</v>
      </c>
      <c r="I765" s="161">
        <v>67</v>
      </c>
      <c r="J765" s="161" t="s">
        <v>105</v>
      </c>
      <c r="K765" s="21" t="s">
        <v>106</v>
      </c>
      <c r="L765" s="161" t="s">
        <v>3380</v>
      </c>
      <c r="M765" s="21" t="s">
        <v>568</v>
      </c>
      <c r="N765" s="161" t="s">
        <v>108</v>
      </c>
      <c r="O765" s="21" t="s">
        <v>139</v>
      </c>
      <c r="P765" s="161" t="s">
        <v>109</v>
      </c>
      <c r="Q765" s="21" t="s">
        <v>70</v>
      </c>
      <c r="R765" s="161">
        <v>80</v>
      </c>
      <c r="S765" s="161" t="s">
        <v>647</v>
      </c>
      <c r="T765" s="161" t="s">
        <v>141</v>
      </c>
      <c r="U765" s="161" t="s">
        <v>142</v>
      </c>
      <c r="V765" s="21" t="s">
        <v>74</v>
      </c>
      <c r="W765" s="21" t="s">
        <v>160</v>
      </c>
      <c r="X765" s="161" t="s">
        <v>648</v>
      </c>
      <c r="Y765" s="161">
        <v>1.554E-2</v>
      </c>
      <c r="Z765" s="161">
        <v>2.6</v>
      </c>
      <c r="AA765" s="161" t="s">
        <v>144</v>
      </c>
      <c r="AB765" s="161" t="s">
        <v>114</v>
      </c>
      <c r="AC765" s="266" t="str">
        <f>HYPERLINK("https://gcsvt.ru/svetodiodnyie-svetilniki/svt-str-m-32w-trio-c/","Ссылка")</f>
        <v>Ссылка</v>
      </c>
      <c r="AD765" s="167">
        <v>14076</v>
      </c>
    </row>
    <row r="766" spans="1:30" s="161" customFormat="1" ht="39.950000000000003" hidden="1" customHeight="1" outlineLevel="2" x14ac:dyDescent="0.25">
      <c r="A766" s="21"/>
      <c r="B766" s="21" t="s">
        <v>631</v>
      </c>
      <c r="C766" s="159" t="s">
        <v>651</v>
      </c>
      <c r="D766" s="161">
        <v>14520</v>
      </c>
      <c r="E766" s="161">
        <v>96</v>
      </c>
      <c r="F766" s="161">
        <v>151</v>
      </c>
      <c r="G766" s="161" t="s">
        <v>652</v>
      </c>
      <c r="H766" s="161" t="s">
        <v>641</v>
      </c>
      <c r="I766" s="161">
        <v>67</v>
      </c>
      <c r="J766" s="161" t="s">
        <v>105</v>
      </c>
      <c r="K766" s="21" t="s">
        <v>106</v>
      </c>
      <c r="L766" s="161" t="s">
        <v>3380</v>
      </c>
      <c r="M766" s="21" t="s">
        <v>568</v>
      </c>
      <c r="N766" s="161" t="s">
        <v>108</v>
      </c>
      <c r="O766" s="21" t="s">
        <v>139</v>
      </c>
      <c r="P766" s="161" t="s">
        <v>109</v>
      </c>
      <c r="Q766" s="21" t="s">
        <v>70</v>
      </c>
      <c r="R766" s="161">
        <v>80</v>
      </c>
      <c r="S766" s="161" t="s">
        <v>647</v>
      </c>
      <c r="T766" s="161" t="s">
        <v>141</v>
      </c>
      <c r="U766" s="161" t="s">
        <v>142</v>
      </c>
      <c r="V766" s="21" t="s">
        <v>74</v>
      </c>
      <c r="W766" s="21" t="s">
        <v>112</v>
      </c>
      <c r="X766" s="161" t="s">
        <v>648</v>
      </c>
      <c r="Y766" s="161">
        <v>1.554E-2</v>
      </c>
      <c r="Z766" s="161">
        <v>2.6</v>
      </c>
      <c r="AA766" s="161" t="s">
        <v>144</v>
      </c>
      <c r="AB766" s="161" t="s">
        <v>114</v>
      </c>
      <c r="AC766" s="266" t="str">
        <f>HYPERLINK("https://gcsvt.ru/svetodiodnyie-svetilniki/svt-str-m-32w-trio90/","Ссылка")</f>
        <v>Ссылка</v>
      </c>
      <c r="AD766" s="167">
        <v>14076</v>
      </c>
    </row>
    <row r="767" spans="1:30" s="161" customFormat="1" ht="39.950000000000003" hidden="1" customHeight="1" outlineLevel="2" x14ac:dyDescent="0.25">
      <c r="A767" s="21"/>
      <c r="B767" s="21" t="s">
        <v>631</v>
      </c>
      <c r="C767" s="159" t="s">
        <v>653</v>
      </c>
      <c r="D767" s="161">
        <v>14520</v>
      </c>
      <c r="E767" s="161">
        <v>96</v>
      </c>
      <c r="F767" s="161">
        <v>151</v>
      </c>
      <c r="G767" s="161" t="s">
        <v>654</v>
      </c>
      <c r="H767" s="161" t="s">
        <v>641</v>
      </c>
      <c r="I767" s="161">
        <v>67</v>
      </c>
      <c r="J767" s="161" t="s">
        <v>105</v>
      </c>
      <c r="K767" s="21" t="s">
        <v>106</v>
      </c>
      <c r="L767" s="161" t="s">
        <v>3380</v>
      </c>
      <c r="M767" s="21" t="s">
        <v>568</v>
      </c>
      <c r="N767" s="161" t="s">
        <v>108</v>
      </c>
      <c r="O767" s="21" t="s">
        <v>139</v>
      </c>
      <c r="P767" s="161" t="s">
        <v>109</v>
      </c>
      <c r="Q767" s="21" t="s">
        <v>70</v>
      </c>
      <c r="R767" s="161">
        <v>80</v>
      </c>
      <c r="S767" s="161" t="s">
        <v>647</v>
      </c>
      <c r="T767" s="161" t="s">
        <v>141</v>
      </c>
      <c r="U767" s="161" t="s">
        <v>142</v>
      </c>
      <c r="V767" s="21" t="s">
        <v>74</v>
      </c>
      <c r="W767" s="21" t="s">
        <v>160</v>
      </c>
      <c r="X767" s="161" t="s">
        <v>655</v>
      </c>
      <c r="Y767" s="161">
        <v>1.554E-2</v>
      </c>
      <c r="Z767" s="161">
        <v>2.6</v>
      </c>
      <c r="AA767" s="161" t="s">
        <v>144</v>
      </c>
      <c r="AB767" s="161" t="s">
        <v>114</v>
      </c>
      <c r="AC767" s="266" t="str">
        <f>HYPERLINK("https://gcsvt.ru/svetodiodnyie-svetilniki/svt-str-m-32w-trio90-c/","Ссылка")</f>
        <v>Ссылка</v>
      </c>
      <c r="AD767" s="167">
        <v>14076</v>
      </c>
    </row>
    <row r="768" spans="1:30" s="161" customFormat="1" ht="39.950000000000003" hidden="1" customHeight="1" outlineLevel="2" x14ac:dyDescent="0.25">
      <c r="A768" s="21"/>
      <c r="B768" s="21" t="s">
        <v>631</v>
      </c>
      <c r="C768" s="159" t="s">
        <v>656</v>
      </c>
      <c r="D768" s="161">
        <v>15260</v>
      </c>
      <c r="E768" s="161">
        <v>96</v>
      </c>
      <c r="F768" s="161">
        <v>158</v>
      </c>
      <c r="G768" s="161" t="s">
        <v>657</v>
      </c>
      <c r="H768" s="161" t="s">
        <v>138</v>
      </c>
      <c r="I768" s="161">
        <v>67</v>
      </c>
      <c r="J768" s="161" t="s">
        <v>105</v>
      </c>
      <c r="K768" s="21" t="s">
        <v>106</v>
      </c>
      <c r="L768" s="161" t="s">
        <v>3380</v>
      </c>
      <c r="M768" s="21" t="s">
        <v>568</v>
      </c>
      <c r="N768" s="161" t="s">
        <v>108</v>
      </c>
      <c r="O768" s="21" t="s">
        <v>139</v>
      </c>
      <c r="P768" s="161" t="s">
        <v>109</v>
      </c>
      <c r="Q768" s="21" t="s">
        <v>70</v>
      </c>
      <c r="R768" s="161">
        <v>80</v>
      </c>
      <c r="S768" s="161" t="s">
        <v>658</v>
      </c>
      <c r="T768" s="161" t="s">
        <v>141</v>
      </c>
      <c r="U768" s="161" t="s">
        <v>142</v>
      </c>
      <c r="V768" s="21" t="s">
        <v>74</v>
      </c>
      <c r="W768" s="21" t="s">
        <v>112</v>
      </c>
      <c r="X768" s="161" t="s">
        <v>659</v>
      </c>
      <c r="Y768" s="161">
        <v>1.176E-2</v>
      </c>
      <c r="Z768" s="161">
        <v>2</v>
      </c>
      <c r="AA768" s="161" t="s">
        <v>144</v>
      </c>
      <c r="AB768" s="161" t="s">
        <v>114</v>
      </c>
      <c r="AC768" s="266" t="str">
        <f>HYPERLINK("https://gcsvt.ru/svetodiodnyie-svetilniki/svt-str-m-48w-duo/","Ссылка")</f>
        <v>Ссылка</v>
      </c>
      <c r="AD768" s="167">
        <v>11098</v>
      </c>
    </row>
    <row r="769" spans="1:30" s="161" customFormat="1" ht="39.950000000000003" hidden="1" customHeight="1" outlineLevel="2" x14ac:dyDescent="0.25">
      <c r="A769" s="21"/>
      <c r="B769" s="21" t="s">
        <v>631</v>
      </c>
      <c r="C769" s="159" t="s">
        <v>660</v>
      </c>
      <c r="D769" s="161">
        <v>15260</v>
      </c>
      <c r="E769" s="161">
        <v>96</v>
      </c>
      <c r="F769" s="161">
        <v>158</v>
      </c>
      <c r="G769" s="161" t="s">
        <v>661</v>
      </c>
      <c r="H769" s="161" t="s">
        <v>138</v>
      </c>
      <c r="I769" s="161">
        <v>67</v>
      </c>
      <c r="J769" s="161" t="s">
        <v>105</v>
      </c>
      <c r="K769" s="21" t="s">
        <v>106</v>
      </c>
      <c r="L769" s="161" t="s">
        <v>3380</v>
      </c>
      <c r="M769" s="21" t="s">
        <v>568</v>
      </c>
      <c r="N769" s="161" t="s">
        <v>108</v>
      </c>
      <c r="O769" s="21" t="s">
        <v>139</v>
      </c>
      <c r="P769" s="161" t="s">
        <v>109</v>
      </c>
      <c r="Q769" s="21" t="s">
        <v>70</v>
      </c>
      <c r="R769" s="161">
        <v>80</v>
      </c>
      <c r="S769" s="161" t="s">
        <v>658</v>
      </c>
      <c r="T769" s="161" t="s">
        <v>141</v>
      </c>
      <c r="U769" s="161" t="s">
        <v>142</v>
      </c>
      <c r="V769" s="21" t="s">
        <v>74</v>
      </c>
      <c r="W769" s="21" t="s">
        <v>160</v>
      </c>
      <c r="X769" s="161" t="s">
        <v>662</v>
      </c>
      <c r="Y769" s="161">
        <v>1.176E-2</v>
      </c>
      <c r="Z769" s="161">
        <v>2</v>
      </c>
      <c r="AA769" s="161" t="s">
        <v>144</v>
      </c>
      <c r="AB769" s="161" t="s">
        <v>114</v>
      </c>
      <c r="AC769" s="266" t="str">
        <f>HYPERLINK("https://gcsvt.ru/svetodiodnyie-svetilniki/svt-str-m-48w-duo-c/","Ссылка")</f>
        <v>Ссылка</v>
      </c>
      <c r="AD769" s="167">
        <v>11098</v>
      </c>
    </row>
    <row r="770" spans="1:30" s="161" customFormat="1" ht="39.950000000000003" hidden="1" customHeight="1" outlineLevel="2" x14ac:dyDescent="0.25">
      <c r="A770" s="21"/>
      <c r="B770" s="21" t="s">
        <v>631</v>
      </c>
      <c r="C770" s="159" t="s">
        <v>663</v>
      </c>
      <c r="D770" s="161">
        <v>15260</v>
      </c>
      <c r="E770" s="161">
        <v>96</v>
      </c>
      <c r="F770" s="161">
        <v>158</v>
      </c>
      <c r="G770" s="161" t="s">
        <v>664</v>
      </c>
      <c r="H770" s="161" t="s">
        <v>641</v>
      </c>
      <c r="I770" s="161">
        <v>67</v>
      </c>
      <c r="J770" s="161" t="s">
        <v>105</v>
      </c>
      <c r="K770" s="21" t="s">
        <v>106</v>
      </c>
      <c r="L770" s="161" t="s">
        <v>3380</v>
      </c>
      <c r="M770" s="21" t="s">
        <v>568</v>
      </c>
      <c r="N770" s="161" t="s">
        <v>108</v>
      </c>
      <c r="O770" s="21" t="s">
        <v>139</v>
      </c>
      <c r="P770" s="161" t="s">
        <v>109</v>
      </c>
      <c r="Q770" s="21" t="s">
        <v>70</v>
      </c>
      <c r="R770" s="161">
        <v>80</v>
      </c>
      <c r="S770" s="161" t="s">
        <v>658</v>
      </c>
      <c r="T770" s="161" t="s">
        <v>141</v>
      </c>
      <c r="U770" s="161" t="s">
        <v>142</v>
      </c>
      <c r="V770" s="21" t="s">
        <v>74</v>
      </c>
      <c r="W770" s="21" t="s">
        <v>112</v>
      </c>
      <c r="X770" s="161" t="s">
        <v>665</v>
      </c>
      <c r="Y770" s="161">
        <v>1.176E-2</v>
      </c>
      <c r="Z770" s="161">
        <v>2</v>
      </c>
      <c r="AA770" s="161" t="s">
        <v>144</v>
      </c>
      <c r="AB770" s="161" t="s">
        <v>114</v>
      </c>
      <c r="AC770" s="266" t="str">
        <f>HYPERLINK("https://gcsvt.ru/svetodiodnyie-svetilniki/svt-str-m-48w-duo90/","Ссылка")</f>
        <v>Ссылка</v>
      </c>
      <c r="AD770" s="167">
        <v>11302</v>
      </c>
    </row>
    <row r="771" spans="1:30" s="161" customFormat="1" ht="39.950000000000003" hidden="1" customHeight="1" outlineLevel="2" x14ac:dyDescent="0.25">
      <c r="A771" s="21"/>
      <c r="B771" s="21" t="s">
        <v>631</v>
      </c>
      <c r="C771" s="159" t="s">
        <v>666</v>
      </c>
      <c r="D771" s="161">
        <v>15260</v>
      </c>
      <c r="E771" s="161">
        <v>96</v>
      </c>
      <c r="F771" s="161">
        <v>158</v>
      </c>
      <c r="G771" s="161" t="s">
        <v>667</v>
      </c>
      <c r="H771" s="161" t="s">
        <v>641</v>
      </c>
      <c r="I771" s="161">
        <v>67</v>
      </c>
      <c r="J771" s="161" t="s">
        <v>105</v>
      </c>
      <c r="K771" s="21" t="s">
        <v>106</v>
      </c>
      <c r="L771" s="161" t="s">
        <v>3380</v>
      </c>
      <c r="M771" s="21" t="s">
        <v>568</v>
      </c>
      <c r="N771" s="161" t="s">
        <v>108</v>
      </c>
      <c r="O771" s="21" t="s">
        <v>139</v>
      </c>
      <c r="P771" s="161" t="s">
        <v>109</v>
      </c>
      <c r="Q771" s="21" t="s">
        <v>70</v>
      </c>
      <c r="R771" s="161">
        <v>80</v>
      </c>
      <c r="S771" s="161" t="s">
        <v>658</v>
      </c>
      <c r="T771" s="161" t="s">
        <v>141</v>
      </c>
      <c r="U771" s="161" t="s">
        <v>142</v>
      </c>
      <c r="V771" s="21" t="s">
        <v>74</v>
      </c>
      <c r="W771" s="21" t="s">
        <v>160</v>
      </c>
      <c r="X771" s="161" t="s">
        <v>668</v>
      </c>
      <c r="Y771" s="161">
        <v>1.176E-2</v>
      </c>
      <c r="Z771" s="161">
        <v>2</v>
      </c>
      <c r="AA771" s="161" t="s">
        <v>144</v>
      </c>
      <c r="AB771" s="161" t="s">
        <v>114</v>
      </c>
      <c r="AC771" s="266" t="str">
        <f>HYPERLINK("https://gcsvt.ru/svetodiodnyie-svetilniki/svt-str-m-48w-duo90-c/","Ссылка")</f>
        <v>Ссылка</v>
      </c>
      <c r="AD771" s="167">
        <v>11302</v>
      </c>
    </row>
    <row r="772" spans="1:30" s="161" customFormat="1" ht="39.950000000000003" hidden="1" customHeight="1" outlineLevel="2" x14ac:dyDescent="0.25">
      <c r="A772" s="21"/>
      <c r="B772" s="21" t="s">
        <v>631</v>
      </c>
      <c r="C772" s="159" t="s">
        <v>669</v>
      </c>
      <c r="D772" s="161">
        <v>22890</v>
      </c>
      <c r="E772" s="161">
        <v>144</v>
      </c>
      <c r="F772" s="161">
        <v>158</v>
      </c>
      <c r="G772" s="161" t="s">
        <v>670</v>
      </c>
      <c r="H772" s="161" t="s">
        <v>138</v>
      </c>
      <c r="I772" s="161">
        <v>67</v>
      </c>
      <c r="J772" s="161" t="s">
        <v>105</v>
      </c>
      <c r="K772" s="21" t="s">
        <v>106</v>
      </c>
      <c r="L772" s="161" t="s">
        <v>3380</v>
      </c>
      <c r="M772" s="21" t="s">
        <v>568</v>
      </c>
      <c r="N772" s="161" t="s">
        <v>108</v>
      </c>
      <c r="O772" s="21" t="s">
        <v>139</v>
      </c>
      <c r="P772" s="161" t="s">
        <v>109</v>
      </c>
      <c r="Q772" s="21" t="s">
        <v>70</v>
      </c>
      <c r="R772" s="161">
        <v>80</v>
      </c>
      <c r="S772" s="161" t="s">
        <v>671</v>
      </c>
      <c r="T772" s="161" t="s">
        <v>141</v>
      </c>
      <c r="U772" s="161" t="s">
        <v>142</v>
      </c>
      <c r="V772" s="21" t="s">
        <v>74</v>
      </c>
      <c r="W772" s="21" t="s">
        <v>112</v>
      </c>
      <c r="X772" s="161" t="s">
        <v>672</v>
      </c>
      <c r="Y772" s="161">
        <v>1.554E-2</v>
      </c>
      <c r="Z772" s="161">
        <v>3</v>
      </c>
      <c r="AA772" s="161" t="s">
        <v>144</v>
      </c>
      <c r="AB772" s="161" t="s">
        <v>114</v>
      </c>
      <c r="AC772" s="266" t="str">
        <f>HYPERLINK("https://gcsvt.ru/svetodiodnyie-svetilniki/svt-str-m-48w-trio/","Ссылка")</f>
        <v>Ссылка</v>
      </c>
      <c r="AD772" s="167">
        <v>16647</v>
      </c>
    </row>
    <row r="773" spans="1:30" s="161" customFormat="1" ht="39.950000000000003" hidden="1" customHeight="1" outlineLevel="2" x14ac:dyDescent="0.25">
      <c r="A773" s="21"/>
      <c r="B773" s="21" t="s">
        <v>631</v>
      </c>
      <c r="C773" s="159" t="s">
        <v>673</v>
      </c>
      <c r="D773" s="161">
        <v>22890</v>
      </c>
      <c r="E773" s="161">
        <v>144</v>
      </c>
      <c r="F773" s="161">
        <v>158</v>
      </c>
      <c r="G773" s="161" t="s">
        <v>674</v>
      </c>
      <c r="H773" s="161" t="s">
        <v>138</v>
      </c>
      <c r="I773" s="161">
        <v>67</v>
      </c>
      <c r="J773" s="161" t="s">
        <v>105</v>
      </c>
      <c r="K773" s="21" t="s">
        <v>106</v>
      </c>
      <c r="L773" s="161" t="s">
        <v>3380</v>
      </c>
      <c r="M773" s="21" t="s">
        <v>568</v>
      </c>
      <c r="N773" s="161" t="s">
        <v>108</v>
      </c>
      <c r="O773" s="21" t="s">
        <v>139</v>
      </c>
      <c r="P773" s="161" t="s">
        <v>109</v>
      </c>
      <c r="Q773" s="21" t="s">
        <v>70</v>
      </c>
      <c r="R773" s="161">
        <v>80</v>
      </c>
      <c r="S773" s="161" t="s">
        <v>671</v>
      </c>
      <c r="T773" s="161" t="s">
        <v>141</v>
      </c>
      <c r="U773" s="161" t="s">
        <v>142</v>
      </c>
      <c r="V773" s="21" t="s">
        <v>74</v>
      </c>
      <c r="W773" s="21" t="s">
        <v>160</v>
      </c>
      <c r="X773" s="161" t="s">
        <v>675</v>
      </c>
      <c r="Y773" s="161">
        <v>1.554E-2</v>
      </c>
      <c r="Z773" s="161">
        <v>3</v>
      </c>
      <c r="AA773" s="161" t="s">
        <v>144</v>
      </c>
      <c r="AB773" s="161" t="s">
        <v>114</v>
      </c>
      <c r="AC773" s="266" t="str">
        <f>HYPERLINK("https://gcsvt.ru/svetodiodnyie-svetilniki/svt-str-m-48w-trio-c/","Ссылка")</f>
        <v>Ссылка</v>
      </c>
      <c r="AD773" s="167">
        <v>16647</v>
      </c>
    </row>
    <row r="774" spans="1:30" s="161" customFormat="1" ht="39.950000000000003" hidden="1" customHeight="1" outlineLevel="2" x14ac:dyDescent="0.25">
      <c r="A774" s="21"/>
      <c r="B774" s="21" t="s">
        <v>631</v>
      </c>
      <c r="C774" s="159" t="s">
        <v>676</v>
      </c>
      <c r="D774" s="161">
        <v>22890</v>
      </c>
      <c r="E774" s="161">
        <v>144</v>
      </c>
      <c r="F774" s="161">
        <v>158</v>
      </c>
      <c r="G774" s="161" t="s">
        <v>677</v>
      </c>
      <c r="H774" s="161" t="s">
        <v>641</v>
      </c>
      <c r="I774" s="161">
        <v>67</v>
      </c>
      <c r="J774" s="161" t="s">
        <v>105</v>
      </c>
      <c r="K774" s="21" t="s">
        <v>106</v>
      </c>
      <c r="L774" s="161" t="s">
        <v>3380</v>
      </c>
      <c r="M774" s="21" t="s">
        <v>568</v>
      </c>
      <c r="N774" s="161" t="s">
        <v>108</v>
      </c>
      <c r="O774" s="21" t="s">
        <v>139</v>
      </c>
      <c r="P774" s="161" t="s">
        <v>109</v>
      </c>
      <c r="Q774" s="21" t="s">
        <v>70</v>
      </c>
      <c r="R774" s="161">
        <v>80</v>
      </c>
      <c r="S774" s="161" t="s">
        <v>671</v>
      </c>
      <c r="T774" s="161" t="s">
        <v>141</v>
      </c>
      <c r="U774" s="161" t="s">
        <v>142</v>
      </c>
      <c r="V774" s="21" t="s">
        <v>74</v>
      </c>
      <c r="W774" s="21" t="s">
        <v>112</v>
      </c>
      <c r="X774" s="161" t="s">
        <v>678</v>
      </c>
      <c r="Y774" s="161">
        <v>1.554E-2</v>
      </c>
      <c r="Z774" s="161">
        <v>3</v>
      </c>
      <c r="AA774" s="161" t="s">
        <v>144</v>
      </c>
      <c r="AB774" s="161" t="s">
        <v>114</v>
      </c>
      <c r="AC774" s="266" t="str">
        <f>HYPERLINK("https://gcsvt.ru/svetodiodnyie-svetilniki/svt-str-m-48w-trio90/","Ссылка")</f>
        <v>Ссылка</v>
      </c>
      <c r="AD774" s="167">
        <v>16647</v>
      </c>
    </row>
    <row r="775" spans="1:30" s="161" customFormat="1" ht="39.950000000000003" hidden="1" customHeight="1" outlineLevel="2" x14ac:dyDescent="0.25">
      <c r="A775" s="21"/>
      <c r="B775" s="21" t="s">
        <v>631</v>
      </c>
      <c r="C775" s="159" t="s">
        <v>679</v>
      </c>
      <c r="D775" s="161">
        <v>22890</v>
      </c>
      <c r="E775" s="161">
        <v>144</v>
      </c>
      <c r="F775" s="161">
        <v>158</v>
      </c>
      <c r="G775" s="161" t="s">
        <v>680</v>
      </c>
      <c r="H775" s="161" t="s">
        <v>641</v>
      </c>
      <c r="I775" s="161">
        <v>67</v>
      </c>
      <c r="J775" s="161" t="s">
        <v>105</v>
      </c>
      <c r="K775" s="21" t="s">
        <v>106</v>
      </c>
      <c r="L775" s="161" t="s">
        <v>3380</v>
      </c>
      <c r="M775" s="21" t="s">
        <v>568</v>
      </c>
      <c r="N775" s="161" t="s">
        <v>108</v>
      </c>
      <c r="O775" s="21" t="s">
        <v>139</v>
      </c>
      <c r="P775" s="161" t="s">
        <v>109</v>
      </c>
      <c r="Q775" s="21" t="s">
        <v>70</v>
      </c>
      <c r="R775" s="161">
        <v>80</v>
      </c>
      <c r="S775" s="161" t="s">
        <v>671</v>
      </c>
      <c r="T775" s="161" t="s">
        <v>141</v>
      </c>
      <c r="U775" s="161" t="s">
        <v>142</v>
      </c>
      <c r="V775" s="21" t="s">
        <v>74</v>
      </c>
      <c r="W775" s="21" t="s">
        <v>160</v>
      </c>
      <c r="X775" s="161" t="s">
        <v>681</v>
      </c>
      <c r="Y775" s="161">
        <v>1.554E-2</v>
      </c>
      <c r="Z775" s="161">
        <v>3</v>
      </c>
      <c r="AA775" s="161" t="s">
        <v>144</v>
      </c>
      <c r="AB775" s="161" t="s">
        <v>114</v>
      </c>
      <c r="AC775" s="266" t="str">
        <f>HYPERLINK("https://gcsvt.ru/svetodiodnyie-svetilniki/svt-str-m-48w-trio90-c/","Ссылка")</f>
        <v>Ссылка</v>
      </c>
      <c r="AD775" s="167">
        <v>16647</v>
      </c>
    </row>
    <row r="776" spans="1:30" s="161" customFormat="1" ht="39.950000000000003" hidden="1" customHeight="1" outlineLevel="2" x14ac:dyDescent="0.25">
      <c r="A776" s="21"/>
      <c r="B776" s="21" t="s">
        <v>631</v>
      </c>
      <c r="C776" s="159" t="s">
        <v>682</v>
      </c>
      <c r="D776" s="161">
        <v>19540</v>
      </c>
      <c r="E776" s="161">
        <v>122</v>
      </c>
      <c r="F776" s="161">
        <v>160</v>
      </c>
      <c r="G776" s="161" t="s">
        <v>683</v>
      </c>
      <c r="H776" s="161" t="s">
        <v>138</v>
      </c>
      <c r="I776" s="161">
        <v>67</v>
      </c>
      <c r="J776" s="161" t="s">
        <v>105</v>
      </c>
      <c r="K776" s="21" t="s">
        <v>106</v>
      </c>
      <c r="L776" s="161" t="s">
        <v>3380</v>
      </c>
      <c r="M776" s="21" t="s">
        <v>568</v>
      </c>
      <c r="N776" s="161" t="s">
        <v>108</v>
      </c>
      <c r="O776" s="21" t="s">
        <v>139</v>
      </c>
      <c r="P776" s="161" t="s">
        <v>109</v>
      </c>
      <c r="Q776" s="21" t="s">
        <v>70</v>
      </c>
      <c r="R776" s="161">
        <v>80</v>
      </c>
      <c r="S776" s="161" t="s">
        <v>684</v>
      </c>
      <c r="T776" s="161" t="s">
        <v>141</v>
      </c>
      <c r="U776" s="161" t="s">
        <v>73</v>
      </c>
      <c r="V776" s="21" t="s">
        <v>74</v>
      </c>
      <c r="W776" s="21" t="s">
        <v>685</v>
      </c>
      <c r="X776" s="161" t="s">
        <v>686</v>
      </c>
      <c r="Y776" s="161">
        <v>1.0290000000000001E-2</v>
      </c>
      <c r="Z776" s="161">
        <v>2.2000000000000002</v>
      </c>
      <c r="AA776" s="161" t="s">
        <v>77</v>
      </c>
      <c r="AB776" s="161" t="s">
        <v>114</v>
      </c>
      <c r="AC776" s="266" t="str">
        <f>HYPERLINK("https://gcsvt.ru/svetodiodnyie-svetilniki/svt-str-m-61w-duo/","Ссылка")</f>
        <v>Ссылка</v>
      </c>
      <c r="AD776" s="167">
        <v>12240</v>
      </c>
    </row>
    <row r="777" spans="1:30" s="161" customFormat="1" ht="39.950000000000003" hidden="1" customHeight="1" outlineLevel="2" x14ac:dyDescent="0.25">
      <c r="A777" s="21"/>
      <c r="B777" s="21" t="s">
        <v>631</v>
      </c>
      <c r="C777" s="159" t="s">
        <v>687</v>
      </c>
      <c r="D777" s="161">
        <v>19540</v>
      </c>
      <c r="E777" s="161">
        <v>122</v>
      </c>
      <c r="F777" s="161">
        <v>160</v>
      </c>
      <c r="G777" s="161" t="s">
        <v>688</v>
      </c>
      <c r="H777" s="161" t="s">
        <v>138</v>
      </c>
      <c r="I777" s="161">
        <v>67</v>
      </c>
      <c r="J777" s="161" t="s">
        <v>105</v>
      </c>
      <c r="K777" s="21" t="s">
        <v>106</v>
      </c>
      <c r="L777" s="161" t="s">
        <v>3380</v>
      </c>
      <c r="M777" s="21" t="s">
        <v>568</v>
      </c>
      <c r="N777" s="161" t="s">
        <v>108</v>
      </c>
      <c r="O777" s="21" t="s">
        <v>139</v>
      </c>
      <c r="P777" s="161" t="s">
        <v>109</v>
      </c>
      <c r="Q777" s="21" t="s">
        <v>70</v>
      </c>
      <c r="R777" s="161">
        <v>80</v>
      </c>
      <c r="S777" s="161" t="s">
        <v>684</v>
      </c>
      <c r="T777" s="161" t="s">
        <v>141</v>
      </c>
      <c r="U777" s="161" t="s">
        <v>73</v>
      </c>
      <c r="V777" s="21" t="s">
        <v>74</v>
      </c>
      <c r="W777" s="21" t="s">
        <v>160</v>
      </c>
      <c r="X777" s="161" t="s">
        <v>689</v>
      </c>
      <c r="Y777" s="161">
        <v>1.176E-2</v>
      </c>
      <c r="Z777" s="161">
        <v>2.2000000000000002</v>
      </c>
      <c r="AA777" s="161" t="s">
        <v>77</v>
      </c>
      <c r="AB777" s="161" t="s">
        <v>114</v>
      </c>
      <c r="AC777" s="266" t="str">
        <f>HYPERLINK("https://gcsvt.ru/svetodiodnyie-svetilniki/svt-str-m-61w-duo-c/","Ссылка")</f>
        <v>Ссылка</v>
      </c>
      <c r="AD777" s="167">
        <v>12240</v>
      </c>
    </row>
    <row r="778" spans="1:30" s="161" customFormat="1" ht="39.950000000000003" hidden="1" customHeight="1" outlineLevel="2" x14ac:dyDescent="0.25">
      <c r="A778" s="21"/>
      <c r="B778" s="21" t="s">
        <v>631</v>
      </c>
      <c r="C778" s="159" t="s">
        <v>690</v>
      </c>
      <c r="D778" s="161">
        <v>19540</v>
      </c>
      <c r="E778" s="161">
        <v>122</v>
      </c>
      <c r="F778" s="161">
        <v>160</v>
      </c>
      <c r="G778" s="161" t="s">
        <v>691</v>
      </c>
      <c r="H778" s="161" t="s">
        <v>641</v>
      </c>
      <c r="I778" s="161">
        <v>67</v>
      </c>
      <c r="J778" s="161" t="s">
        <v>105</v>
      </c>
      <c r="K778" s="21" t="s">
        <v>106</v>
      </c>
      <c r="L778" s="161" t="s">
        <v>3380</v>
      </c>
      <c r="M778" s="21" t="s">
        <v>568</v>
      </c>
      <c r="N778" s="161" t="s">
        <v>108</v>
      </c>
      <c r="O778" s="21" t="s">
        <v>139</v>
      </c>
      <c r="P778" s="161" t="s">
        <v>109</v>
      </c>
      <c r="Q778" s="21" t="s">
        <v>70</v>
      </c>
      <c r="R778" s="161">
        <v>80</v>
      </c>
      <c r="S778" s="161" t="s">
        <v>684</v>
      </c>
      <c r="T778" s="161" t="s">
        <v>141</v>
      </c>
      <c r="U778" s="161" t="s">
        <v>73</v>
      </c>
      <c r="V778" s="21" t="s">
        <v>74</v>
      </c>
      <c r="W778" s="21" t="s">
        <v>112</v>
      </c>
      <c r="X778" s="161" t="s">
        <v>692</v>
      </c>
      <c r="Y778" s="161">
        <v>1.176E-2</v>
      </c>
      <c r="Z778" s="161">
        <v>2.2000000000000002</v>
      </c>
      <c r="AA778" s="161" t="s">
        <v>77</v>
      </c>
      <c r="AB778" s="161" t="s">
        <v>114</v>
      </c>
      <c r="AC778" s="266" t="str">
        <f>HYPERLINK("https://gcsvt.ru/svetodiodnyie-svetilniki/svt-str-m-61w-duo90/","Ссылка")</f>
        <v>Ссылка</v>
      </c>
      <c r="AD778" s="167">
        <v>12444</v>
      </c>
    </row>
    <row r="779" spans="1:30" s="161" customFormat="1" ht="39.950000000000003" hidden="1" customHeight="1" outlineLevel="2" x14ac:dyDescent="0.25">
      <c r="A779" s="21"/>
      <c r="B779" s="21" t="s">
        <v>631</v>
      </c>
      <c r="C779" s="159" t="s">
        <v>693</v>
      </c>
      <c r="D779" s="161">
        <v>19540</v>
      </c>
      <c r="E779" s="161">
        <v>122</v>
      </c>
      <c r="F779" s="161">
        <v>160</v>
      </c>
      <c r="G779" s="161" t="s">
        <v>694</v>
      </c>
      <c r="H779" s="161" t="s">
        <v>641</v>
      </c>
      <c r="I779" s="161">
        <v>67</v>
      </c>
      <c r="J779" s="161" t="s">
        <v>105</v>
      </c>
      <c r="K779" s="21" t="s">
        <v>106</v>
      </c>
      <c r="L779" s="161" t="s">
        <v>3380</v>
      </c>
      <c r="M779" s="21" t="s">
        <v>568</v>
      </c>
      <c r="N779" s="161" t="s">
        <v>108</v>
      </c>
      <c r="O779" s="21" t="s">
        <v>139</v>
      </c>
      <c r="P779" s="161" t="s">
        <v>109</v>
      </c>
      <c r="Q779" s="21" t="s">
        <v>70</v>
      </c>
      <c r="R779" s="161">
        <v>80</v>
      </c>
      <c r="S779" s="161" t="s">
        <v>684</v>
      </c>
      <c r="T779" s="161" t="s">
        <v>141</v>
      </c>
      <c r="U779" s="161" t="s">
        <v>73</v>
      </c>
      <c r="V779" s="21" t="s">
        <v>74</v>
      </c>
      <c r="W779" s="21" t="s">
        <v>160</v>
      </c>
      <c r="X779" s="161" t="s">
        <v>695</v>
      </c>
      <c r="Y779" s="161">
        <v>1.176E-2</v>
      </c>
      <c r="Z779" s="161">
        <v>2.2000000000000002</v>
      </c>
      <c r="AA779" s="161" t="s">
        <v>77</v>
      </c>
      <c r="AB779" s="161" t="s">
        <v>114</v>
      </c>
      <c r="AC779" s="266" t="str">
        <f>HYPERLINK("https://gcsvt.ru/svetodiodnyie-svetilniki/svt-str-m-61w-duo90-c/","Ссылка")</f>
        <v>Ссылка</v>
      </c>
      <c r="AD779" s="167">
        <v>12444</v>
      </c>
    </row>
    <row r="780" spans="1:30" s="161" customFormat="1" ht="39.950000000000003" hidden="1" customHeight="1" outlineLevel="2" x14ac:dyDescent="0.25">
      <c r="A780" s="21"/>
      <c r="B780" s="21" t="s">
        <v>631</v>
      </c>
      <c r="C780" s="159" t="s">
        <v>696</v>
      </c>
      <c r="D780" s="161">
        <v>29310</v>
      </c>
      <c r="E780" s="161">
        <v>183</v>
      </c>
      <c r="F780" s="161">
        <v>160</v>
      </c>
      <c r="G780" s="161" t="s">
        <v>697</v>
      </c>
      <c r="H780" s="161" t="s">
        <v>138</v>
      </c>
      <c r="I780" s="161">
        <v>67</v>
      </c>
      <c r="J780" s="161" t="s">
        <v>105</v>
      </c>
      <c r="K780" s="21" t="s">
        <v>106</v>
      </c>
      <c r="L780" s="161" t="s">
        <v>3380</v>
      </c>
      <c r="M780" s="21" t="s">
        <v>568</v>
      </c>
      <c r="N780" s="161" t="s">
        <v>108</v>
      </c>
      <c r="O780" s="21" t="s">
        <v>139</v>
      </c>
      <c r="P780" s="161" t="s">
        <v>109</v>
      </c>
      <c r="Q780" s="21" t="s">
        <v>70</v>
      </c>
      <c r="R780" s="161">
        <v>80</v>
      </c>
      <c r="S780" s="161" t="s">
        <v>698</v>
      </c>
      <c r="T780" s="161" t="s">
        <v>141</v>
      </c>
      <c r="U780" s="161" t="s">
        <v>73</v>
      </c>
      <c r="V780" s="21" t="s">
        <v>74</v>
      </c>
      <c r="W780" s="21" t="s">
        <v>112</v>
      </c>
      <c r="X780" s="161" t="s">
        <v>699</v>
      </c>
      <c r="Y780" s="161">
        <v>1.554E-2</v>
      </c>
      <c r="Z780" s="161">
        <v>3.3</v>
      </c>
      <c r="AA780" s="161" t="s">
        <v>77</v>
      </c>
      <c r="AB780" s="161" t="s">
        <v>114</v>
      </c>
      <c r="AC780" s="266" t="str">
        <f>HYPERLINK("https://gcsvt.ru/svetodiodnyie-svetilniki/svt-str-m-61w-trio/","Ссылка")</f>
        <v>Ссылка</v>
      </c>
      <c r="AD780" s="167">
        <v>18360</v>
      </c>
    </row>
    <row r="781" spans="1:30" s="161" customFormat="1" ht="39.950000000000003" hidden="1" customHeight="1" outlineLevel="2" x14ac:dyDescent="0.25">
      <c r="A781" s="21"/>
      <c r="B781" s="21" t="s">
        <v>631</v>
      </c>
      <c r="C781" s="159" t="s">
        <v>700</v>
      </c>
      <c r="D781" s="161">
        <v>29310</v>
      </c>
      <c r="E781" s="161">
        <v>183</v>
      </c>
      <c r="F781" s="161">
        <v>160</v>
      </c>
      <c r="G781" s="161" t="s">
        <v>701</v>
      </c>
      <c r="H781" s="161" t="s">
        <v>138</v>
      </c>
      <c r="I781" s="161">
        <v>67</v>
      </c>
      <c r="J781" s="161" t="s">
        <v>105</v>
      </c>
      <c r="K781" s="21" t="s">
        <v>106</v>
      </c>
      <c r="L781" s="161" t="s">
        <v>3380</v>
      </c>
      <c r="M781" s="21" t="s">
        <v>568</v>
      </c>
      <c r="N781" s="161" t="s">
        <v>108</v>
      </c>
      <c r="O781" s="21" t="s">
        <v>139</v>
      </c>
      <c r="P781" s="161" t="s">
        <v>109</v>
      </c>
      <c r="Q781" s="21" t="s">
        <v>70</v>
      </c>
      <c r="R781" s="161">
        <v>80</v>
      </c>
      <c r="S781" s="161" t="s">
        <v>698</v>
      </c>
      <c r="T781" s="161" t="s">
        <v>141</v>
      </c>
      <c r="U781" s="161" t="s">
        <v>73</v>
      </c>
      <c r="V781" s="21" t="s">
        <v>74</v>
      </c>
      <c r="W781" s="21" t="s">
        <v>160</v>
      </c>
      <c r="X781" s="161" t="s">
        <v>702</v>
      </c>
      <c r="Y781" s="161">
        <v>1.554E-2</v>
      </c>
      <c r="Z781" s="161">
        <v>3.3</v>
      </c>
      <c r="AA781" s="161" t="s">
        <v>77</v>
      </c>
      <c r="AB781" s="161" t="s">
        <v>114</v>
      </c>
      <c r="AC781" s="266" t="str">
        <f>HYPERLINK("https://gcsvt.ru/svetodiodnyie-svetilniki/svt-str-m-61w-trio-c/","Ссылка")</f>
        <v>Ссылка</v>
      </c>
      <c r="AD781" s="167">
        <v>18360</v>
      </c>
    </row>
    <row r="782" spans="1:30" s="161" customFormat="1" ht="39.950000000000003" hidden="1" customHeight="1" outlineLevel="2" x14ac:dyDescent="0.25">
      <c r="A782" s="21"/>
      <c r="B782" s="21" t="s">
        <v>631</v>
      </c>
      <c r="C782" s="159" t="s">
        <v>703</v>
      </c>
      <c r="D782" s="161">
        <v>29310</v>
      </c>
      <c r="E782" s="161">
        <v>183</v>
      </c>
      <c r="F782" s="161">
        <v>160</v>
      </c>
      <c r="G782" s="161" t="s">
        <v>704</v>
      </c>
      <c r="H782" s="161" t="s">
        <v>641</v>
      </c>
      <c r="I782" s="161">
        <v>67</v>
      </c>
      <c r="J782" s="161" t="s">
        <v>105</v>
      </c>
      <c r="K782" s="21" t="s">
        <v>106</v>
      </c>
      <c r="L782" s="161" t="s">
        <v>3380</v>
      </c>
      <c r="M782" s="21" t="s">
        <v>568</v>
      </c>
      <c r="N782" s="161" t="s">
        <v>108</v>
      </c>
      <c r="O782" s="21" t="s">
        <v>139</v>
      </c>
      <c r="P782" s="161" t="s">
        <v>109</v>
      </c>
      <c r="Q782" s="21" t="s">
        <v>70</v>
      </c>
      <c r="R782" s="161">
        <v>80</v>
      </c>
      <c r="S782" s="161" t="s">
        <v>698</v>
      </c>
      <c r="T782" s="161" t="s">
        <v>141</v>
      </c>
      <c r="U782" s="161" t="s">
        <v>73</v>
      </c>
      <c r="V782" s="21" t="s">
        <v>74</v>
      </c>
      <c r="W782" s="21" t="s">
        <v>112</v>
      </c>
      <c r="X782" s="161" t="s">
        <v>702</v>
      </c>
      <c r="Y782" s="161">
        <v>1.554E-2</v>
      </c>
      <c r="Z782" s="161">
        <v>3.3</v>
      </c>
      <c r="AA782" s="161" t="s">
        <v>77</v>
      </c>
      <c r="AB782" s="161" t="s">
        <v>114</v>
      </c>
      <c r="AC782" s="266" t="str">
        <f>HYPERLINK("https://gcsvt.ru/svetodiodnyie-svetilniki/svt-str-m-61w-trio90/","Ссылка")</f>
        <v>Ссылка</v>
      </c>
      <c r="AD782" s="167">
        <v>18360</v>
      </c>
    </row>
    <row r="783" spans="1:30" s="161" customFormat="1" ht="39.950000000000003" hidden="1" customHeight="1" outlineLevel="2" x14ac:dyDescent="0.25">
      <c r="A783" s="21"/>
      <c r="B783" s="21" t="s">
        <v>631</v>
      </c>
      <c r="C783" s="159" t="s">
        <v>705</v>
      </c>
      <c r="D783" s="161">
        <v>29310</v>
      </c>
      <c r="E783" s="161">
        <v>183</v>
      </c>
      <c r="F783" s="161">
        <v>160</v>
      </c>
      <c r="G783" s="161" t="s">
        <v>706</v>
      </c>
      <c r="H783" s="161" t="s">
        <v>641</v>
      </c>
      <c r="I783" s="161">
        <v>67</v>
      </c>
      <c r="J783" s="161" t="s">
        <v>105</v>
      </c>
      <c r="K783" s="21" t="s">
        <v>106</v>
      </c>
      <c r="L783" s="161" t="s">
        <v>3380</v>
      </c>
      <c r="M783" s="21" t="s">
        <v>568</v>
      </c>
      <c r="N783" s="161" t="s">
        <v>108</v>
      </c>
      <c r="O783" s="21" t="s">
        <v>139</v>
      </c>
      <c r="P783" s="161" t="s">
        <v>109</v>
      </c>
      <c r="Q783" s="21" t="s">
        <v>70</v>
      </c>
      <c r="R783" s="161">
        <v>80</v>
      </c>
      <c r="S783" s="161" t="s">
        <v>698</v>
      </c>
      <c r="T783" s="161" t="s">
        <v>141</v>
      </c>
      <c r="U783" s="161" t="s">
        <v>73</v>
      </c>
      <c r="V783" s="21" t="s">
        <v>74</v>
      </c>
      <c r="W783" s="21" t="s">
        <v>160</v>
      </c>
      <c r="X783" s="161" t="s">
        <v>707</v>
      </c>
      <c r="Y783" s="161">
        <v>1.554E-2</v>
      </c>
      <c r="Z783" s="161">
        <v>3.3</v>
      </c>
      <c r="AA783" s="161" t="s">
        <v>77</v>
      </c>
      <c r="AB783" s="161" t="s">
        <v>114</v>
      </c>
      <c r="AC783" s="266" t="str">
        <f>HYPERLINK("https://gcsvt.ru/svetodiodnyie-svetilniki/svt-str-m-61w-trio90-c/","Ссылка")</f>
        <v>Ссылка</v>
      </c>
      <c r="AD783" s="167">
        <v>18360</v>
      </c>
    </row>
    <row r="784" spans="1:30" s="161" customFormat="1" ht="39.950000000000003" hidden="1" customHeight="1" outlineLevel="2" x14ac:dyDescent="0.25">
      <c r="A784" s="21"/>
      <c r="B784" s="21" t="s">
        <v>631</v>
      </c>
      <c r="C784" s="159" t="s">
        <v>708</v>
      </c>
      <c r="D784" s="161">
        <v>9680</v>
      </c>
      <c r="E784" s="161">
        <v>64</v>
      </c>
      <c r="F784" s="161">
        <v>151</v>
      </c>
      <c r="G784" s="161" t="s">
        <v>709</v>
      </c>
      <c r="H784" s="161" t="s">
        <v>138</v>
      </c>
      <c r="I784" s="161">
        <v>67</v>
      </c>
      <c r="J784" s="161" t="s">
        <v>105</v>
      </c>
      <c r="K784" s="21" t="s">
        <v>106</v>
      </c>
      <c r="L784" s="161" t="s">
        <v>3380</v>
      </c>
      <c r="M784" s="21" t="s">
        <v>107</v>
      </c>
      <c r="N784" s="161" t="s">
        <v>108</v>
      </c>
      <c r="O784" s="21" t="s">
        <v>139</v>
      </c>
      <c r="P784" s="161" t="s">
        <v>109</v>
      </c>
      <c r="Q784" s="21" t="s">
        <v>70</v>
      </c>
      <c r="R784" s="161">
        <v>80</v>
      </c>
      <c r="S784" s="161" t="s">
        <v>634</v>
      </c>
      <c r="T784" s="161" t="s">
        <v>141</v>
      </c>
      <c r="U784" s="161" t="s">
        <v>142</v>
      </c>
      <c r="V784" s="21" t="s">
        <v>74</v>
      </c>
      <c r="W784" s="21" t="s">
        <v>112</v>
      </c>
      <c r="X784" s="161" t="s">
        <v>635</v>
      </c>
      <c r="Y784" s="161">
        <v>1.176E-2</v>
      </c>
      <c r="Z784" s="161">
        <v>1.8</v>
      </c>
      <c r="AA784" s="161" t="s">
        <v>144</v>
      </c>
      <c r="AB784" s="161" t="s">
        <v>114</v>
      </c>
      <c r="AC784" s="266" t="str">
        <f>HYPERLINK("https://gcsvt.ru/svetodiodnyie-svetilniki/svt-str-m-32w-duo-s-zashchitoy-ot-380/","Ссылка")</f>
        <v>Ссылка</v>
      </c>
      <c r="AD784" s="167">
        <v>11343</v>
      </c>
    </row>
    <row r="785" spans="1:30" s="161" customFormat="1" ht="39.950000000000003" hidden="1" customHeight="1" outlineLevel="2" x14ac:dyDescent="0.25">
      <c r="A785" s="21"/>
      <c r="B785" s="21" t="s">
        <v>631</v>
      </c>
      <c r="C785" s="159" t="s">
        <v>710</v>
      </c>
      <c r="D785" s="161">
        <v>9680</v>
      </c>
      <c r="E785" s="161">
        <v>64</v>
      </c>
      <c r="F785" s="161">
        <v>151</v>
      </c>
      <c r="G785" s="161" t="s">
        <v>711</v>
      </c>
      <c r="H785" s="161" t="s">
        <v>138</v>
      </c>
      <c r="I785" s="161">
        <v>67</v>
      </c>
      <c r="J785" s="161" t="s">
        <v>105</v>
      </c>
      <c r="K785" s="21" t="s">
        <v>106</v>
      </c>
      <c r="L785" s="161" t="s">
        <v>3380</v>
      </c>
      <c r="M785" s="21" t="s">
        <v>107</v>
      </c>
      <c r="N785" s="161" t="s">
        <v>108</v>
      </c>
      <c r="O785" s="21" t="s">
        <v>139</v>
      </c>
      <c r="P785" s="161" t="s">
        <v>109</v>
      </c>
      <c r="Q785" s="21" t="s">
        <v>70</v>
      </c>
      <c r="R785" s="161">
        <v>80</v>
      </c>
      <c r="S785" s="161" t="s">
        <v>634</v>
      </c>
      <c r="T785" s="161" t="s">
        <v>141</v>
      </c>
      <c r="U785" s="161" t="s">
        <v>142</v>
      </c>
      <c r="V785" s="21" t="s">
        <v>74</v>
      </c>
      <c r="W785" s="21" t="s">
        <v>160</v>
      </c>
      <c r="X785" s="161" t="s">
        <v>638</v>
      </c>
      <c r="Y785" s="161">
        <v>1.0500000000000001E-2</v>
      </c>
      <c r="Z785" s="161">
        <v>1.8</v>
      </c>
      <c r="AA785" s="161" t="s">
        <v>144</v>
      </c>
      <c r="AB785" s="161" t="s">
        <v>114</v>
      </c>
      <c r="AC785" s="266" t="str">
        <f>HYPERLINK("https://gcsvt.ru/svetodiodnyie-svetilniki/svt-str-m-32w-duo-c-s-zashchitoy-ot-380/","Ссылка")</f>
        <v>Ссылка</v>
      </c>
      <c r="AD785" s="167">
        <v>11343</v>
      </c>
    </row>
    <row r="786" spans="1:30" s="161" customFormat="1" ht="39.950000000000003" hidden="1" customHeight="1" outlineLevel="2" x14ac:dyDescent="0.25">
      <c r="A786" s="21"/>
      <c r="B786" s="21" t="s">
        <v>631</v>
      </c>
      <c r="C786" s="159" t="s">
        <v>712</v>
      </c>
      <c r="D786" s="161">
        <v>9680</v>
      </c>
      <c r="E786" s="161">
        <v>64</v>
      </c>
      <c r="F786" s="161">
        <v>151</v>
      </c>
      <c r="G786" s="161" t="s">
        <v>713</v>
      </c>
      <c r="H786" s="161" t="s">
        <v>641</v>
      </c>
      <c r="I786" s="161">
        <v>67</v>
      </c>
      <c r="J786" s="161" t="s">
        <v>105</v>
      </c>
      <c r="K786" s="21" t="s">
        <v>106</v>
      </c>
      <c r="L786" s="161" t="s">
        <v>3380</v>
      </c>
      <c r="M786" s="21" t="s">
        <v>107</v>
      </c>
      <c r="N786" s="161" t="s">
        <v>108</v>
      </c>
      <c r="O786" s="21" t="s">
        <v>139</v>
      </c>
      <c r="P786" s="161" t="s">
        <v>109</v>
      </c>
      <c r="Q786" s="21" t="s">
        <v>70</v>
      </c>
      <c r="R786" s="161">
        <v>80</v>
      </c>
      <c r="S786" s="161" t="s">
        <v>634</v>
      </c>
      <c r="T786" s="161" t="s">
        <v>141</v>
      </c>
      <c r="U786" s="161" t="s">
        <v>142</v>
      </c>
      <c r="V786" s="21" t="s">
        <v>74</v>
      </c>
      <c r="W786" s="21" t="s">
        <v>112</v>
      </c>
      <c r="X786" s="161" t="s">
        <v>635</v>
      </c>
      <c r="Y786" s="161">
        <v>1.0500000000000001E-2</v>
      </c>
      <c r="Z786" s="161">
        <v>1.8</v>
      </c>
      <c r="AA786" s="161" t="s">
        <v>144</v>
      </c>
      <c r="AB786" s="161" t="s">
        <v>114</v>
      </c>
      <c r="AC786" s="266" t="str">
        <f>HYPERLINK("https://gcsvt.ru/svetodiodnyie-svetilniki/svt-str-m-32w-duo90-s-zashchitoy-ot-380/","Ссылка")</f>
        <v>Ссылка</v>
      </c>
      <c r="AD786" s="167">
        <v>11547</v>
      </c>
    </row>
    <row r="787" spans="1:30" s="161" customFormat="1" ht="39.950000000000003" hidden="1" customHeight="1" outlineLevel="2" x14ac:dyDescent="0.25">
      <c r="A787" s="21"/>
      <c r="B787" s="21" t="s">
        <v>631</v>
      </c>
      <c r="C787" s="159" t="s">
        <v>714</v>
      </c>
      <c r="D787" s="161">
        <v>9680</v>
      </c>
      <c r="E787" s="161">
        <v>64</v>
      </c>
      <c r="F787" s="161">
        <v>151</v>
      </c>
      <c r="G787" s="161" t="s">
        <v>715</v>
      </c>
      <c r="H787" s="161" t="s">
        <v>641</v>
      </c>
      <c r="I787" s="161">
        <v>67</v>
      </c>
      <c r="J787" s="161" t="s">
        <v>105</v>
      </c>
      <c r="K787" s="21" t="s">
        <v>106</v>
      </c>
      <c r="L787" s="161" t="s">
        <v>3380</v>
      </c>
      <c r="M787" s="21" t="s">
        <v>107</v>
      </c>
      <c r="N787" s="161" t="s">
        <v>108</v>
      </c>
      <c r="O787" s="21" t="s">
        <v>139</v>
      </c>
      <c r="P787" s="161" t="s">
        <v>109</v>
      </c>
      <c r="Q787" s="21" t="s">
        <v>70</v>
      </c>
      <c r="R787" s="161">
        <v>80</v>
      </c>
      <c r="S787" s="161" t="s">
        <v>634</v>
      </c>
      <c r="T787" s="161" t="s">
        <v>141</v>
      </c>
      <c r="U787" s="161" t="s">
        <v>142</v>
      </c>
      <c r="V787" s="21" t="s">
        <v>74</v>
      </c>
      <c r="W787" s="21" t="s">
        <v>160</v>
      </c>
      <c r="X787" s="161" t="s">
        <v>644</v>
      </c>
      <c r="Y787" s="161">
        <v>1.9199999999999998E-2</v>
      </c>
      <c r="Z787" s="161">
        <v>1.8</v>
      </c>
      <c r="AA787" s="161" t="s">
        <v>144</v>
      </c>
      <c r="AB787" s="161" t="s">
        <v>114</v>
      </c>
      <c r="AC787" s="266" t="str">
        <f>HYPERLINK("https://gcsvt.ru/svetodiodnyie-svetilniki/svt-str-m-32w-duo90-c-s-zashchitoy-ot-380/","Ссылка")</f>
        <v>Ссылка</v>
      </c>
      <c r="AD787" s="167">
        <v>11547</v>
      </c>
    </row>
    <row r="788" spans="1:30" s="161" customFormat="1" ht="39.950000000000003" hidden="1" customHeight="1" outlineLevel="2" x14ac:dyDescent="0.25">
      <c r="A788" s="21"/>
      <c r="B788" s="21" t="s">
        <v>631</v>
      </c>
      <c r="C788" s="159" t="s">
        <v>716</v>
      </c>
      <c r="D788" s="161">
        <v>14520</v>
      </c>
      <c r="E788" s="161">
        <v>96</v>
      </c>
      <c r="F788" s="161">
        <v>151</v>
      </c>
      <c r="G788" s="161" t="s">
        <v>717</v>
      </c>
      <c r="H788" s="161" t="s">
        <v>138</v>
      </c>
      <c r="I788" s="161">
        <v>67</v>
      </c>
      <c r="J788" s="161" t="s">
        <v>105</v>
      </c>
      <c r="K788" s="21" t="s">
        <v>106</v>
      </c>
      <c r="L788" s="161" t="s">
        <v>3380</v>
      </c>
      <c r="M788" s="21" t="s">
        <v>107</v>
      </c>
      <c r="N788" s="161" t="s">
        <v>108</v>
      </c>
      <c r="O788" s="21" t="s">
        <v>139</v>
      </c>
      <c r="P788" s="161" t="s">
        <v>109</v>
      </c>
      <c r="Q788" s="21" t="s">
        <v>70</v>
      </c>
      <c r="R788" s="161">
        <v>80</v>
      </c>
      <c r="S788" s="161" t="s">
        <v>647</v>
      </c>
      <c r="T788" s="161" t="s">
        <v>141</v>
      </c>
      <c r="U788" s="161" t="s">
        <v>142</v>
      </c>
      <c r="V788" s="21" t="s">
        <v>74</v>
      </c>
      <c r="W788" s="21" t="s">
        <v>112</v>
      </c>
      <c r="X788" s="161" t="s">
        <v>648</v>
      </c>
      <c r="Y788" s="161">
        <v>1.554E-2</v>
      </c>
      <c r="Z788" s="161">
        <v>2.6</v>
      </c>
      <c r="AA788" s="161" t="s">
        <v>144</v>
      </c>
      <c r="AB788" s="161" t="s">
        <v>114</v>
      </c>
      <c r="AC788" s="266" t="str">
        <f>HYPERLINK("https://gcsvt.ru/svetodiodnyie-svetilniki/svt-str-m-32w-trio-s-zashchitoy-ot-380/","Ссылка")</f>
        <v>Ссылка</v>
      </c>
      <c r="AD788" s="167">
        <v>17014</v>
      </c>
    </row>
    <row r="789" spans="1:30" s="161" customFormat="1" ht="39.950000000000003" hidden="1" customHeight="1" outlineLevel="2" x14ac:dyDescent="0.25">
      <c r="A789" s="21"/>
      <c r="B789" s="21" t="s">
        <v>631</v>
      </c>
      <c r="C789" s="159" t="s">
        <v>718</v>
      </c>
      <c r="D789" s="161">
        <v>14520</v>
      </c>
      <c r="E789" s="161">
        <v>96</v>
      </c>
      <c r="F789" s="161">
        <v>151</v>
      </c>
      <c r="G789" s="161" t="s">
        <v>719</v>
      </c>
      <c r="H789" s="161" t="s">
        <v>138</v>
      </c>
      <c r="I789" s="161">
        <v>67</v>
      </c>
      <c r="J789" s="161" t="s">
        <v>105</v>
      </c>
      <c r="K789" s="21" t="s">
        <v>106</v>
      </c>
      <c r="L789" s="161" t="s">
        <v>3380</v>
      </c>
      <c r="M789" s="21" t="s">
        <v>107</v>
      </c>
      <c r="N789" s="161" t="s">
        <v>108</v>
      </c>
      <c r="O789" s="21" t="s">
        <v>139</v>
      </c>
      <c r="P789" s="161" t="s">
        <v>109</v>
      </c>
      <c r="Q789" s="21" t="s">
        <v>70</v>
      </c>
      <c r="R789" s="161">
        <v>80</v>
      </c>
      <c r="S789" s="161" t="s">
        <v>647</v>
      </c>
      <c r="T789" s="161" t="s">
        <v>141</v>
      </c>
      <c r="U789" s="161" t="s">
        <v>142</v>
      </c>
      <c r="V789" s="21" t="s">
        <v>74</v>
      </c>
      <c r="W789" s="21" t="s">
        <v>160</v>
      </c>
      <c r="X789" s="161" t="s">
        <v>648</v>
      </c>
      <c r="Y789" s="161">
        <v>1.554E-2</v>
      </c>
      <c r="Z789" s="161">
        <v>2.6</v>
      </c>
      <c r="AA789" s="161" t="s">
        <v>144</v>
      </c>
      <c r="AB789" s="161" t="s">
        <v>114</v>
      </c>
      <c r="AC789" s="266" t="str">
        <f>HYPERLINK("https://gcsvt.ru/svetodiodnyie-svetilniki/svt-str-m-32w-trio-c-s-zashchitoy-ot-380/","Ссылка")</f>
        <v>Ссылка</v>
      </c>
      <c r="AD789" s="167">
        <v>17014</v>
      </c>
    </row>
    <row r="790" spans="1:30" s="161" customFormat="1" ht="39.950000000000003" hidden="1" customHeight="1" outlineLevel="2" x14ac:dyDescent="0.25">
      <c r="A790" s="21"/>
      <c r="B790" s="21" t="s">
        <v>631</v>
      </c>
      <c r="C790" s="159" t="s">
        <v>720</v>
      </c>
      <c r="D790" s="161">
        <v>14520</v>
      </c>
      <c r="E790" s="161">
        <v>96</v>
      </c>
      <c r="F790" s="161">
        <v>151</v>
      </c>
      <c r="G790" s="161" t="s">
        <v>721</v>
      </c>
      <c r="H790" s="161" t="s">
        <v>641</v>
      </c>
      <c r="I790" s="161">
        <v>67</v>
      </c>
      <c r="J790" s="161" t="s">
        <v>105</v>
      </c>
      <c r="K790" s="21" t="s">
        <v>106</v>
      </c>
      <c r="L790" s="161" t="s">
        <v>3380</v>
      </c>
      <c r="M790" s="21" t="s">
        <v>107</v>
      </c>
      <c r="N790" s="161" t="s">
        <v>108</v>
      </c>
      <c r="O790" s="21" t="s">
        <v>139</v>
      </c>
      <c r="P790" s="161" t="s">
        <v>109</v>
      </c>
      <c r="Q790" s="21" t="s">
        <v>70</v>
      </c>
      <c r="R790" s="161">
        <v>80</v>
      </c>
      <c r="S790" s="161" t="s">
        <v>647</v>
      </c>
      <c r="T790" s="161" t="s">
        <v>141</v>
      </c>
      <c r="U790" s="161" t="s">
        <v>142</v>
      </c>
      <c r="V790" s="21" t="s">
        <v>74</v>
      </c>
      <c r="W790" s="21" t="s">
        <v>112</v>
      </c>
      <c r="X790" s="161" t="s">
        <v>648</v>
      </c>
      <c r="Y790" s="161">
        <v>1.554E-2</v>
      </c>
      <c r="Z790" s="161">
        <v>2.6</v>
      </c>
      <c r="AA790" s="161" t="s">
        <v>144</v>
      </c>
      <c r="AB790" s="161" t="s">
        <v>114</v>
      </c>
      <c r="AC790" s="266" t="str">
        <f>HYPERLINK("https://gcsvt.ru/svetodiodnyie-svetilniki/svt-str-m-32w-trio90-s-zashchitoy-ot-380/","Ссылка")</f>
        <v>Ссылка</v>
      </c>
      <c r="AD790" s="167">
        <v>17014</v>
      </c>
    </row>
    <row r="791" spans="1:30" s="161" customFormat="1" ht="39.950000000000003" hidden="1" customHeight="1" outlineLevel="2" x14ac:dyDescent="0.25">
      <c r="A791" s="21"/>
      <c r="B791" s="21" t="s">
        <v>631</v>
      </c>
      <c r="C791" s="159" t="s">
        <v>722</v>
      </c>
      <c r="D791" s="161">
        <v>14520</v>
      </c>
      <c r="E791" s="161">
        <v>96</v>
      </c>
      <c r="F791" s="161">
        <v>151</v>
      </c>
      <c r="G791" s="161" t="s">
        <v>723</v>
      </c>
      <c r="H791" s="161" t="s">
        <v>641</v>
      </c>
      <c r="I791" s="161">
        <v>67</v>
      </c>
      <c r="J791" s="161" t="s">
        <v>105</v>
      </c>
      <c r="K791" s="21" t="s">
        <v>106</v>
      </c>
      <c r="L791" s="161" t="s">
        <v>3380</v>
      </c>
      <c r="M791" s="21" t="s">
        <v>107</v>
      </c>
      <c r="N791" s="161" t="s">
        <v>108</v>
      </c>
      <c r="O791" s="21" t="s">
        <v>139</v>
      </c>
      <c r="P791" s="161" t="s">
        <v>109</v>
      </c>
      <c r="Q791" s="21" t="s">
        <v>70</v>
      </c>
      <c r="R791" s="161">
        <v>80</v>
      </c>
      <c r="S791" s="161" t="s">
        <v>647</v>
      </c>
      <c r="T791" s="161" t="s">
        <v>141</v>
      </c>
      <c r="U791" s="161" t="s">
        <v>142</v>
      </c>
      <c r="V791" s="21" t="s">
        <v>74</v>
      </c>
      <c r="W791" s="21" t="s">
        <v>160</v>
      </c>
      <c r="X791" s="161" t="s">
        <v>655</v>
      </c>
      <c r="Y791" s="161">
        <v>1.554E-2</v>
      </c>
      <c r="Z791" s="161">
        <v>2.6</v>
      </c>
      <c r="AA791" s="161" t="s">
        <v>144</v>
      </c>
      <c r="AB791" s="161" t="s">
        <v>114</v>
      </c>
      <c r="AC791" s="266" t="str">
        <f>HYPERLINK("https://gcsvt.ru/svetodiodnyie-svetilniki/svt-str-m-32w-trio90-c-s-zashchitoy-ot-380/","Ссылка")</f>
        <v>Ссылка</v>
      </c>
      <c r="AD791" s="167">
        <v>17014</v>
      </c>
    </row>
    <row r="792" spans="1:30" s="161" customFormat="1" ht="39.950000000000003" hidden="1" customHeight="1" outlineLevel="2" x14ac:dyDescent="0.25">
      <c r="A792" s="21"/>
      <c r="B792" s="21" t="s">
        <v>631</v>
      </c>
      <c r="C792" s="159" t="s">
        <v>724</v>
      </c>
      <c r="D792" s="161">
        <v>15260</v>
      </c>
      <c r="E792" s="161">
        <v>96</v>
      </c>
      <c r="F792" s="161">
        <v>158</v>
      </c>
      <c r="G792" s="161" t="s">
        <v>725</v>
      </c>
      <c r="H792" s="161" t="s">
        <v>138</v>
      </c>
      <c r="I792" s="161">
        <v>67</v>
      </c>
      <c r="J792" s="161" t="s">
        <v>105</v>
      </c>
      <c r="K792" s="21" t="s">
        <v>106</v>
      </c>
      <c r="L792" s="161" t="s">
        <v>3380</v>
      </c>
      <c r="M792" s="21" t="s">
        <v>107</v>
      </c>
      <c r="N792" s="161" t="s">
        <v>108</v>
      </c>
      <c r="O792" s="21" t="s">
        <v>139</v>
      </c>
      <c r="P792" s="161" t="s">
        <v>109</v>
      </c>
      <c r="Q792" s="21" t="s">
        <v>70</v>
      </c>
      <c r="R792" s="161">
        <v>80</v>
      </c>
      <c r="S792" s="161" t="s">
        <v>658</v>
      </c>
      <c r="T792" s="161" t="s">
        <v>141</v>
      </c>
      <c r="U792" s="161" t="s">
        <v>142</v>
      </c>
      <c r="V792" s="21" t="s">
        <v>74</v>
      </c>
      <c r="W792" s="21" t="s">
        <v>685</v>
      </c>
      <c r="X792" s="161" t="s">
        <v>726</v>
      </c>
      <c r="Y792" s="161">
        <v>1.176E-2</v>
      </c>
      <c r="Z792" s="161">
        <v>2</v>
      </c>
      <c r="AA792" s="161" t="s">
        <v>144</v>
      </c>
      <c r="AB792" s="161" t="s">
        <v>114</v>
      </c>
      <c r="AC792" s="266" t="str">
        <f>HYPERLINK("https://gcsvt.ru/svetodiodnyie-svetilniki/svt-str-m-48w-duo-s-zashchitoy-ot-380/","Ссылка")</f>
        <v>Ссылка</v>
      </c>
      <c r="AD792" s="167">
        <v>11832</v>
      </c>
    </row>
    <row r="793" spans="1:30" s="161" customFormat="1" ht="39.950000000000003" hidden="1" customHeight="1" outlineLevel="2" x14ac:dyDescent="0.25">
      <c r="A793" s="21"/>
      <c r="B793" s="21" t="s">
        <v>631</v>
      </c>
      <c r="C793" s="159" t="s">
        <v>727</v>
      </c>
      <c r="D793" s="161">
        <v>15260</v>
      </c>
      <c r="E793" s="161">
        <v>96</v>
      </c>
      <c r="F793" s="161">
        <v>158</v>
      </c>
      <c r="G793" s="161" t="s">
        <v>728</v>
      </c>
      <c r="H793" s="161" t="s">
        <v>138</v>
      </c>
      <c r="I793" s="161">
        <v>67</v>
      </c>
      <c r="J793" s="161" t="s">
        <v>105</v>
      </c>
      <c r="K793" s="21" t="s">
        <v>106</v>
      </c>
      <c r="L793" s="161" t="s">
        <v>3380</v>
      </c>
      <c r="M793" s="21" t="s">
        <v>107</v>
      </c>
      <c r="N793" s="161" t="s">
        <v>108</v>
      </c>
      <c r="O793" s="21" t="s">
        <v>139</v>
      </c>
      <c r="P793" s="161" t="s">
        <v>109</v>
      </c>
      <c r="Q793" s="21" t="s">
        <v>70</v>
      </c>
      <c r="R793" s="161">
        <v>80</v>
      </c>
      <c r="S793" s="161" t="s">
        <v>658</v>
      </c>
      <c r="T793" s="161" t="s">
        <v>141</v>
      </c>
      <c r="U793" s="161" t="s">
        <v>142</v>
      </c>
      <c r="V793" s="21" t="s">
        <v>74</v>
      </c>
      <c r="W793" s="21" t="s">
        <v>160</v>
      </c>
      <c r="X793" s="161" t="s">
        <v>662</v>
      </c>
      <c r="Y793" s="161">
        <v>1.176E-2</v>
      </c>
      <c r="Z793" s="161">
        <v>2</v>
      </c>
      <c r="AA793" s="161" t="s">
        <v>144</v>
      </c>
      <c r="AB793" s="161" t="s">
        <v>114</v>
      </c>
      <c r="AC793" s="266" t="str">
        <f>HYPERLINK("https://gcsvt.ru/svetodiodnyie-svetilniki/svt-str-m-48w-duo-c-s-zashchitoy-ot-380/","Ссылка")</f>
        <v>Ссылка</v>
      </c>
      <c r="AD793" s="167">
        <v>11832</v>
      </c>
    </row>
    <row r="794" spans="1:30" s="161" customFormat="1" ht="39.950000000000003" hidden="1" customHeight="1" outlineLevel="2" x14ac:dyDescent="0.25">
      <c r="A794" s="21"/>
      <c r="B794" s="21" t="s">
        <v>631</v>
      </c>
      <c r="C794" s="159" t="s">
        <v>729</v>
      </c>
      <c r="D794" s="161">
        <v>15260</v>
      </c>
      <c r="E794" s="161">
        <v>96</v>
      </c>
      <c r="F794" s="161">
        <v>158</v>
      </c>
      <c r="G794" s="161" t="s">
        <v>730</v>
      </c>
      <c r="H794" s="161" t="s">
        <v>641</v>
      </c>
      <c r="I794" s="161">
        <v>67</v>
      </c>
      <c r="J794" s="161" t="s">
        <v>105</v>
      </c>
      <c r="K794" s="21" t="s">
        <v>106</v>
      </c>
      <c r="L794" s="161" t="s">
        <v>3380</v>
      </c>
      <c r="M794" s="21" t="s">
        <v>107</v>
      </c>
      <c r="N794" s="161" t="s">
        <v>108</v>
      </c>
      <c r="O794" s="21" t="s">
        <v>139</v>
      </c>
      <c r="P794" s="161" t="s">
        <v>109</v>
      </c>
      <c r="Q794" s="21" t="s">
        <v>70</v>
      </c>
      <c r="R794" s="161">
        <v>80</v>
      </c>
      <c r="S794" s="161" t="s">
        <v>658</v>
      </c>
      <c r="T794" s="161" t="s">
        <v>141</v>
      </c>
      <c r="U794" s="161" t="s">
        <v>142</v>
      </c>
      <c r="V794" s="21" t="s">
        <v>74</v>
      </c>
      <c r="W794" s="21" t="s">
        <v>112</v>
      </c>
      <c r="X794" s="161" t="s">
        <v>665</v>
      </c>
      <c r="Y794" s="161">
        <v>1.176E-2</v>
      </c>
      <c r="Z794" s="161">
        <v>2</v>
      </c>
      <c r="AA794" s="161" t="s">
        <v>144</v>
      </c>
      <c r="AB794" s="161" t="s">
        <v>114</v>
      </c>
      <c r="AC794" s="266" t="str">
        <f>HYPERLINK("https://gcsvt.ru/svetodiodnyie-svetilniki/svt-str-m-48w-duo90-s-zashchitoy-ot-380/","Ссылка")</f>
        <v>Ссылка</v>
      </c>
      <c r="AD794" s="167">
        <v>12036</v>
      </c>
    </row>
    <row r="795" spans="1:30" s="161" customFormat="1" ht="39.950000000000003" hidden="1" customHeight="1" outlineLevel="2" x14ac:dyDescent="0.25">
      <c r="A795" s="21"/>
      <c r="B795" s="21" t="s">
        <v>631</v>
      </c>
      <c r="C795" s="159" t="s">
        <v>731</v>
      </c>
      <c r="D795" s="161">
        <v>15260</v>
      </c>
      <c r="E795" s="161">
        <v>96</v>
      </c>
      <c r="F795" s="161">
        <v>158</v>
      </c>
      <c r="G795" s="161" t="s">
        <v>732</v>
      </c>
      <c r="H795" s="161" t="s">
        <v>641</v>
      </c>
      <c r="I795" s="161">
        <v>67</v>
      </c>
      <c r="J795" s="161" t="s">
        <v>105</v>
      </c>
      <c r="K795" s="21" t="s">
        <v>106</v>
      </c>
      <c r="L795" s="161" t="s">
        <v>3380</v>
      </c>
      <c r="M795" s="21" t="s">
        <v>107</v>
      </c>
      <c r="N795" s="161" t="s">
        <v>108</v>
      </c>
      <c r="O795" s="21" t="s">
        <v>139</v>
      </c>
      <c r="P795" s="161" t="s">
        <v>109</v>
      </c>
      <c r="Q795" s="21" t="s">
        <v>70</v>
      </c>
      <c r="R795" s="161">
        <v>80</v>
      </c>
      <c r="S795" s="161" t="s">
        <v>658</v>
      </c>
      <c r="T795" s="161" t="s">
        <v>141</v>
      </c>
      <c r="U795" s="161" t="s">
        <v>142</v>
      </c>
      <c r="V795" s="21" t="s">
        <v>74</v>
      </c>
      <c r="W795" s="21" t="s">
        <v>160</v>
      </c>
      <c r="X795" s="161" t="s">
        <v>668</v>
      </c>
      <c r="Y795" s="161">
        <v>1.176E-2</v>
      </c>
      <c r="Z795" s="161">
        <v>2</v>
      </c>
      <c r="AA795" s="161" t="s">
        <v>144</v>
      </c>
      <c r="AB795" s="161" t="s">
        <v>114</v>
      </c>
      <c r="AC795" s="266" t="str">
        <f>HYPERLINK("https://gcsvt.ru/svetodiodnyie-svetilniki/svt-str-m-48w-duo90-c-s-zashchitoy-ot-380/","Ссылка")</f>
        <v>Ссылка</v>
      </c>
      <c r="AD795" s="167">
        <v>12036</v>
      </c>
    </row>
    <row r="796" spans="1:30" s="161" customFormat="1" ht="39.950000000000003" hidden="1" customHeight="1" outlineLevel="2" x14ac:dyDescent="0.25">
      <c r="A796" s="21"/>
      <c r="B796" s="21" t="s">
        <v>631</v>
      </c>
      <c r="C796" s="159" t="s">
        <v>733</v>
      </c>
      <c r="D796" s="161">
        <v>22890</v>
      </c>
      <c r="E796" s="161">
        <v>144</v>
      </c>
      <c r="F796" s="161">
        <v>158</v>
      </c>
      <c r="G796" s="161" t="s">
        <v>734</v>
      </c>
      <c r="H796" s="161" t="s">
        <v>138</v>
      </c>
      <c r="I796" s="161">
        <v>67</v>
      </c>
      <c r="J796" s="161" t="s">
        <v>105</v>
      </c>
      <c r="K796" s="21" t="s">
        <v>106</v>
      </c>
      <c r="L796" s="161" t="s">
        <v>3380</v>
      </c>
      <c r="M796" s="21" t="s">
        <v>107</v>
      </c>
      <c r="N796" s="161" t="s">
        <v>108</v>
      </c>
      <c r="O796" s="21" t="s">
        <v>139</v>
      </c>
      <c r="P796" s="161" t="s">
        <v>109</v>
      </c>
      <c r="Q796" s="21" t="s">
        <v>70</v>
      </c>
      <c r="R796" s="161">
        <v>80</v>
      </c>
      <c r="S796" s="161" t="s">
        <v>671</v>
      </c>
      <c r="T796" s="161" t="s">
        <v>141</v>
      </c>
      <c r="U796" s="161" t="s">
        <v>142</v>
      </c>
      <c r="V796" s="21" t="s">
        <v>74</v>
      </c>
      <c r="W796" s="21" t="s">
        <v>112</v>
      </c>
      <c r="X796" s="161" t="s">
        <v>735</v>
      </c>
      <c r="Y796" s="161">
        <v>1.554E-2</v>
      </c>
      <c r="Z796" s="161">
        <v>3</v>
      </c>
      <c r="AA796" s="161" t="s">
        <v>144</v>
      </c>
      <c r="AB796" s="161" t="s">
        <v>114</v>
      </c>
      <c r="AC796" s="266" t="str">
        <f>HYPERLINK("https://gcsvt.ru/svetodiodnyie-svetilniki/svt-str-m-48w-trio-s-zashchitoy-ot-380/","Ссылка")</f>
        <v>Ссылка</v>
      </c>
      <c r="AD796" s="167">
        <v>17748</v>
      </c>
    </row>
    <row r="797" spans="1:30" s="161" customFormat="1" ht="39.950000000000003" hidden="1" customHeight="1" outlineLevel="2" x14ac:dyDescent="0.25">
      <c r="A797" s="21"/>
      <c r="B797" s="21" t="s">
        <v>631</v>
      </c>
      <c r="C797" s="159" t="s">
        <v>736</v>
      </c>
      <c r="D797" s="161">
        <v>22890</v>
      </c>
      <c r="E797" s="161">
        <v>144</v>
      </c>
      <c r="F797" s="161">
        <v>158</v>
      </c>
      <c r="G797" s="161" t="s">
        <v>737</v>
      </c>
      <c r="H797" s="161" t="s">
        <v>138</v>
      </c>
      <c r="I797" s="161">
        <v>67</v>
      </c>
      <c r="J797" s="161" t="s">
        <v>105</v>
      </c>
      <c r="K797" s="21" t="s">
        <v>106</v>
      </c>
      <c r="L797" s="161" t="s">
        <v>3380</v>
      </c>
      <c r="M797" s="21" t="s">
        <v>107</v>
      </c>
      <c r="N797" s="161" t="s">
        <v>108</v>
      </c>
      <c r="O797" s="21" t="s">
        <v>139</v>
      </c>
      <c r="P797" s="161" t="s">
        <v>109</v>
      </c>
      <c r="Q797" s="21" t="s">
        <v>70</v>
      </c>
      <c r="R797" s="161">
        <v>80</v>
      </c>
      <c r="S797" s="161" t="s">
        <v>671</v>
      </c>
      <c r="T797" s="161" t="s">
        <v>141</v>
      </c>
      <c r="U797" s="161" t="s">
        <v>142</v>
      </c>
      <c r="V797" s="21" t="s">
        <v>74</v>
      </c>
      <c r="W797" s="21" t="s">
        <v>160</v>
      </c>
      <c r="X797" s="161" t="s">
        <v>675</v>
      </c>
      <c r="Y797" s="161">
        <v>1.554E-2</v>
      </c>
      <c r="Z797" s="161">
        <v>3</v>
      </c>
      <c r="AA797" s="161" t="s">
        <v>144</v>
      </c>
      <c r="AB797" s="161" t="s">
        <v>114</v>
      </c>
      <c r="AC797" s="266" t="str">
        <f>HYPERLINK("https://gcsvt.ru/svetodiodnyie-svetilniki/svt-str-m-48w-trio-c-s-zashchitoy-ot-380/","Ссылка")</f>
        <v>Ссылка</v>
      </c>
      <c r="AD797" s="167">
        <v>17748</v>
      </c>
    </row>
    <row r="798" spans="1:30" s="161" customFormat="1" ht="39.950000000000003" hidden="1" customHeight="1" outlineLevel="2" x14ac:dyDescent="0.25">
      <c r="A798" s="21"/>
      <c r="B798" s="21" t="s">
        <v>631</v>
      </c>
      <c r="C798" s="159" t="s">
        <v>738</v>
      </c>
      <c r="D798" s="161">
        <v>22890</v>
      </c>
      <c r="E798" s="161">
        <v>144</v>
      </c>
      <c r="F798" s="161">
        <v>158</v>
      </c>
      <c r="G798" s="161" t="s">
        <v>739</v>
      </c>
      <c r="H798" s="161" t="s">
        <v>641</v>
      </c>
      <c r="I798" s="161">
        <v>67</v>
      </c>
      <c r="J798" s="161" t="s">
        <v>105</v>
      </c>
      <c r="K798" s="21" t="s">
        <v>106</v>
      </c>
      <c r="L798" s="161" t="s">
        <v>3380</v>
      </c>
      <c r="M798" s="21" t="s">
        <v>107</v>
      </c>
      <c r="N798" s="161" t="s">
        <v>108</v>
      </c>
      <c r="O798" s="21" t="s">
        <v>139</v>
      </c>
      <c r="P798" s="161" t="s">
        <v>109</v>
      </c>
      <c r="Q798" s="21" t="s">
        <v>70</v>
      </c>
      <c r="R798" s="161">
        <v>80</v>
      </c>
      <c r="S798" s="161" t="s">
        <v>671</v>
      </c>
      <c r="T798" s="161" t="s">
        <v>141</v>
      </c>
      <c r="U798" s="161" t="s">
        <v>142</v>
      </c>
      <c r="V798" s="21" t="s">
        <v>74</v>
      </c>
      <c r="W798" s="21" t="s">
        <v>112</v>
      </c>
      <c r="X798" s="161" t="s">
        <v>678</v>
      </c>
      <c r="Y798" s="161">
        <v>1.554E-2</v>
      </c>
      <c r="Z798" s="161">
        <v>3</v>
      </c>
      <c r="AA798" s="161" t="s">
        <v>144</v>
      </c>
      <c r="AB798" s="161" t="s">
        <v>114</v>
      </c>
      <c r="AC798" s="266" t="str">
        <f>HYPERLINK("https://gcsvt.ru/svetodiodnyie-svetilniki/svt-str-m-48w-trio90-s-zashchitoy-ot-380/","Ссылка")</f>
        <v>Ссылка</v>
      </c>
      <c r="AD798" s="167">
        <v>17748</v>
      </c>
    </row>
    <row r="799" spans="1:30" s="161" customFormat="1" ht="39.950000000000003" hidden="1" customHeight="1" outlineLevel="2" x14ac:dyDescent="0.25">
      <c r="A799" s="21"/>
      <c r="B799" s="21" t="s">
        <v>631</v>
      </c>
      <c r="C799" s="159" t="s">
        <v>740</v>
      </c>
      <c r="D799" s="161">
        <v>22890</v>
      </c>
      <c r="E799" s="161">
        <v>144</v>
      </c>
      <c r="F799" s="161">
        <v>158</v>
      </c>
      <c r="G799" s="161" t="s">
        <v>741</v>
      </c>
      <c r="H799" s="161" t="s">
        <v>641</v>
      </c>
      <c r="I799" s="161">
        <v>67</v>
      </c>
      <c r="J799" s="161" t="s">
        <v>105</v>
      </c>
      <c r="K799" s="21" t="s">
        <v>106</v>
      </c>
      <c r="L799" s="161" t="s">
        <v>3380</v>
      </c>
      <c r="M799" s="21" t="s">
        <v>107</v>
      </c>
      <c r="N799" s="161" t="s">
        <v>108</v>
      </c>
      <c r="O799" s="21" t="s">
        <v>139</v>
      </c>
      <c r="P799" s="161" t="s">
        <v>109</v>
      </c>
      <c r="Q799" s="21" t="s">
        <v>70</v>
      </c>
      <c r="R799" s="161">
        <v>80</v>
      </c>
      <c r="S799" s="161" t="s">
        <v>671</v>
      </c>
      <c r="T799" s="161" t="s">
        <v>141</v>
      </c>
      <c r="U799" s="161" t="s">
        <v>142</v>
      </c>
      <c r="V799" s="21" t="s">
        <v>74</v>
      </c>
      <c r="W799" s="21" t="s">
        <v>160</v>
      </c>
      <c r="X799" s="161" t="s">
        <v>681</v>
      </c>
      <c r="Y799" s="161">
        <v>1.554E-2</v>
      </c>
      <c r="Z799" s="161">
        <v>3</v>
      </c>
      <c r="AA799" s="161" t="s">
        <v>144</v>
      </c>
      <c r="AB799" s="161" t="s">
        <v>114</v>
      </c>
      <c r="AC799" s="266" t="str">
        <f>HYPERLINK("https://gcsvt.ru/svetodiodnyie-svetilniki/svt-str-m-48w-trio90-c-s-zashchitoy-ot-380/","Ссылка")</f>
        <v>Ссылка</v>
      </c>
      <c r="AD799" s="167">
        <v>17748</v>
      </c>
    </row>
    <row r="800" spans="1:30" s="161" customFormat="1" ht="39.950000000000003" hidden="1" customHeight="1" outlineLevel="2" x14ac:dyDescent="0.25">
      <c r="A800" s="21"/>
      <c r="B800" s="21" t="s">
        <v>631</v>
      </c>
      <c r="C800" s="159" t="s">
        <v>742</v>
      </c>
      <c r="D800" s="161">
        <v>19540</v>
      </c>
      <c r="E800" s="161">
        <v>122</v>
      </c>
      <c r="F800" s="161">
        <v>160</v>
      </c>
      <c r="G800" s="161" t="s">
        <v>743</v>
      </c>
      <c r="H800" s="161" t="s">
        <v>138</v>
      </c>
      <c r="I800" s="161">
        <v>67</v>
      </c>
      <c r="J800" s="161" t="s">
        <v>105</v>
      </c>
      <c r="K800" s="21" t="s">
        <v>106</v>
      </c>
      <c r="L800" s="161" t="s">
        <v>3380</v>
      </c>
      <c r="M800" s="21" t="s">
        <v>107</v>
      </c>
      <c r="N800" s="161" t="s">
        <v>108</v>
      </c>
      <c r="O800" s="21" t="s">
        <v>139</v>
      </c>
      <c r="P800" s="161" t="s">
        <v>109</v>
      </c>
      <c r="Q800" s="21" t="s">
        <v>70</v>
      </c>
      <c r="R800" s="161">
        <v>80</v>
      </c>
      <c r="S800" s="161" t="s">
        <v>684</v>
      </c>
      <c r="T800" s="161" t="s">
        <v>141</v>
      </c>
      <c r="U800" s="161" t="s">
        <v>73</v>
      </c>
      <c r="V800" s="21" t="s">
        <v>74</v>
      </c>
      <c r="W800" s="21" t="s">
        <v>685</v>
      </c>
      <c r="X800" s="161" t="s">
        <v>744</v>
      </c>
      <c r="Y800" s="161">
        <v>1.0290000000000001E-2</v>
      </c>
      <c r="Z800" s="161">
        <v>2.2000000000000002</v>
      </c>
      <c r="AA800" s="161" t="s">
        <v>77</v>
      </c>
      <c r="AB800" s="161" t="s">
        <v>114</v>
      </c>
      <c r="AC800" s="266" t="str">
        <f>HYPERLINK("https://gcsvt.ru/svetodiodnyie-svetilniki/svt-str-m-61w-duo-s-zashchitoy-ot-380/","Ссылка")</f>
        <v>Ссылка</v>
      </c>
      <c r="AD800" s="167">
        <v>13260</v>
      </c>
    </row>
    <row r="801" spans="1:30" s="161" customFormat="1" ht="39.950000000000003" hidden="1" customHeight="1" outlineLevel="2" x14ac:dyDescent="0.25">
      <c r="A801" s="21"/>
      <c r="B801" s="21" t="s">
        <v>631</v>
      </c>
      <c r="C801" s="159" t="s">
        <v>745</v>
      </c>
      <c r="D801" s="161">
        <v>19540</v>
      </c>
      <c r="E801" s="161">
        <v>122</v>
      </c>
      <c r="F801" s="161">
        <v>160</v>
      </c>
      <c r="G801" s="161" t="s">
        <v>746</v>
      </c>
      <c r="H801" s="161" t="s">
        <v>138</v>
      </c>
      <c r="I801" s="161">
        <v>67</v>
      </c>
      <c r="J801" s="161" t="s">
        <v>105</v>
      </c>
      <c r="K801" s="21" t="s">
        <v>106</v>
      </c>
      <c r="L801" s="161" t="s">
        <v>3380</v>
      </c>
      <c r="M801" s="21" t="s">
        <v>107</v>
      </c>
      <c r="N801" s="161" t="s">
        <v>108</v>
      </c>
      <c r="O801" s="21" t="s">
        <v>139</v>
      </c>
      <c r="P801" s="161" t="s">
        <v>109</v>
      </c>
      <c r="Q801" s="21" t="s">
        <v>70</v>
      </c>
      <c r="R801" s="161">
        <v>80</v>
      </c>
      <c r="S801" s="161" t="s">
        <v>684</v>
      </c>
      <c r="T801" s="161" t="s">
        <v>141</v>
      </c>
      <c r="U801" s="161" t="s">
        <v>73</v>
      </c>
      <c r="V801" s="21" t="s">
        <v>74</v>
      </c>
      <c r="W801" s="21" t="s">
        <v>160</v>
      </c>
      <c r="X801" s="161" t="s">
        <v>689</v>
      </c>
      <c r="Y801" s="161">
        <v>1.176E-2</v>
      </c>
      <c r="Z801" s="161">
        <v>2.2000000000000002</v>
      </c>
      <c r="AA801" s="161" t="s">
        <v>77</v>
      </c>
      <c r="AB801" s="161" t="s">
        <v>114</v>
      </c>
      <c r="AC801" s="266" t="str">
        <f>HYPERLINK("https://gcsvt.ru/svetodiodnyie-svetilniki/svt-str-m-61w-duo-c-s-zashchitoy-ot-380/","Ссылка")</f>
        <v>Ссылка</v>
      </c>
      <c r="AD801" s="167">
        <v>13260</v>
      </c>
    </row>
    <row r="802" spans="1:30" s="161" customFormat="1" ht="39.950000000000003" hidden="1" customHeight="1" outlineLevel="2" x14ac:dyDescent="0.25">
      <c r="A802" s="21"/>
      <c r="B802" s="21" t="s">
        <v>631</v>
      </c>
      <c r="C802" s="159" t="s">
        <v>747</v>
      </c>
      <c r="D802" s="161">
        <v>19540</v>
      </c>
      <c r="E802" s="161">
        <v>122</v>
      </c>
      <c r="F802" s="161">
        <v>160</v>
      </c>
      <c r="G802" s="161" t="s">
        <v>748</v>
      </c>
      <c r="H802" s="161" t="s">
        <v>641</v>
      </c>
      <c r="I802" s="161">
        <v>67</v>
      </c>
      <c r="J802" s="161" t="s">
        <v>105</v>
      </c>
      <c r="K802" s="21" t="s">
        <v>106</v>
      </c>
      <c r="L802" s="161" t="s">
        <v>3380</v>
      </c>
      <c r="M802" s="21" t="s">
        <v>107</v>
      </c>
      <c r="N802" s="161" t="s">
        <v>108</v>
      </c>
      <c r="O802" s="21" t="s">
        <v>139</v>
      </c>
      <c r="P802" s="161" t="s">
        <v>109</v>
      </c>
      <c r="Q802" s="21" t="s">
        <v>70</v>
      </c>
      <c r="R802" s="161">
        <v>80</v>
      </c>
      <c r="S802" s="161" t="s">
        <v>684</v>
      </c>
      <c r="T802" s="161" t="s">
        <v>141</v>
      </c>
      <c r="U802" s="161" t="s">
        <v>73</v>
      </c>
      <c r="V802" s="21" t="s">
        <v>74</v>
      </c>
      <c r="W802" s="21" t="s">
        <v>112</v>
      </c>
      <c r="X802" s="161" t="s">
        <v>692</v>
      </c>
      <c r="Y802" s="161">
        <v>1.176E-2</v>
      </c>
      <c r="Z802" s="161">
        <v>2.2000000000000002</v>
      </c>
      <c r="AA802" s="161" t="s">
        <v>77</v>
      </c>
      <c r="AB802" s="161" t="s">
        <v>114</v>
      </c>
      <c r="AC802" s="266" t="str">
        <f>HYPERLINK("https://gcsvt.ru/svetodiodnyie-svetilniki/svt-str-m-61w-duo90-s-zashchitoy-ot-380/","Ссылка")</f>
        <v>Ссылка</v>
      </c>
      <c r="AD802" s="167">
        <v>13260</v>
      </c>
    </row>
    <row r="803" spans="1:30" s="161" customFormat="1" ht="39.950000000000003" hidden="1" customHeight="1" outlineLevel="2" x14ac:dyDescent="0.25">
      <c r="A803" s="21"/>
      <c r="B803" s="21" t="s">
        <v>631</v>
      </c>
      <c r="C803" s="159" t="s">
        <v>749</v>
      </c>
      <c r="D803" s="161">
        <v>19540</v>
      </c>
      <c r="E803" s="161">
        <v>122</v>
      </c>
      <c r="F803" s="161">
        <v>160</v>
      </c>
      <c r="G803" s="161" t="s">
        <v>750</v>
      </c>
      <c r="H803" s="161" t="s">
        <v>641</v>
      </c>
      <c r="I803" s="161">
        <v>67</v>
      </c>
      <c r="J803" s="161" t="s">
        <v>105</v>
      </c>
      <c r="K803" s="21" t="s">
        <v>106</v>
      </c>
      <c r="L803" s="161" t="s">
        <v>3380</v>
      </c>
      <c r="M803" s="21" t="s">
        <v>107</v>
      </c>
      <c r="N803" s="161" t="s">
        <v>108</v>
      </c>
      <c r="O803" s="21" t="s">
        <v>139</v>
      </c>
      <c r="P803" s="161" t="s">
        <v>109</v>
      </c>
      <c r="Q803" s="21" t="s">
        <v>70</v>
      </c>
      <c r="R803" s="161">
        <v>80</v>
      </c>
      <c r="S803" s="161" t="s">
        <v>684</v>
      </c>
      <c r="T803" s="161" t="s">
        <v>141</v>
      </c>
      <c r="U803" s="161" t="s">
        <v>73</v>
      </c>
      <c r="V803" s="21" t="s">
        <v>74</v>
      </c>
      <c r="W803" s="21" t="s">
        <v>160</v>
      </c>
      <c r="X803" s="161" t="s">
        <v>695</v>
      </c>
      <c r="Y803" s="161">
        <v>1.176E-2</v>
      </c>
      <c r="Z803" s="161">
        <v>2.2000000000000002</v>
      </c>
      <c r="AA803" s="161" t="s">
        <v>77</v>
      </c>
      <c r="AB803" s="161" t="s">
        <v>114</v>
      </c>
      <c r="AC803" s="266" t="str">
        <f>HYPERLINK("https://gcsvt.ru/svetodiodnyie-svetilniki/svt-str-m-61w-duo90-c-s-zashchitoy-ot-380/","Ссылка")</f>
        <v>Ссылка</v>
      </c>
      <c r="AD803" s="167">
        <v>13260</v>
      </c>
    </row>
    <row r="804" spans="1:30" s="161" customFormat="1" ht="39.950000000000003" hidden="1" customHeight="1" outlineLevel="2" x14ac:dyDescent="0.25">
      <c r="A804" s="21"/>
      <c r="B804" s="21" t="s">
        <v>631</v>
      </c>
      <c r="C804" s="159" t="s">
        <v>751</v>
      </c>
      <c r="D804" s="161">
        <v>29310</v>
      </c>
      <c r="E804" s="161">
        <v>183</v>
      </c>
      <c r="F804" s="161">
        <v>160</v>
      </c>
      <c r="G804" s="161" t="s">
        <v>752</v>
      </c>
      <c r="H804" s="161" t="s">
        <v>138</v>
      </c>
      <c r="I804" s="161">
        <v>67</v>
      </c>
      <c r="J804" s="161" t="s">
        <v>105</v>
      </c>
      <c r="K804" s="21" t="s">
        <v>106</v>
      </c>
      <c r="L804" s="161" t="s">
        <v>3380</v>
      </c>
      <c r="M804" s="21" t="s">
        <v>107</v>
      </c>
      <c r="N804" s="161" t="s">
        <v>108</v>
      </c>
      <c r="O804" s="21" t="s">
        <v>139</v>
      </c>
      <c r="P804" s="161" t="s">
        <v>109</v>
      </c>
      <c r="Q804" s="21" t="s">
        <v>70</v>
      </c>
      <c r="R804" s="161">
        <v>80</v>
      </c>
      <c r="S804" s="161" t="s">
        <v>698</v>
      </c>
      <c r="T804" s="161" t="s">
        <v>141</v>
      </c>
      <c r="U804" s="161" t="s">
        <v>73</v>
      </c>
      <c r="V804" s="21" t="s">
        <v>74</v>
      </c>
      <c r="W804" s="21" t="s">
        <v>112</v>
      </c>
      <c r="X804" s="161" t="s">
        <v>699</v>
      </c>
      <c r="Y804" s="161">
        <v>1.554E-2</v>
      </c>
      <c r="Z804" s="161">
        <v>3.3</v>
      </c>
      <c r="AA804" s="161" t="s">
        <v>77</v>
      </c>
      <c r="AB804" s="161" t="s">
        <v>114</v>
      </c>
      <c r="AC804" s="266" t="str">
        <f>HYPERLINK("https://gcsvt.ru/svetodiodnyie-svetilniki/svt-str-m-61w-trio-s-zashchitoy-ot-380/","Ссылка")</f>
        <v>Ссылка</v>
      </c>
      <c r="AD804" s="167">
        <v>19890</v>
      </c>
    </row>
    <row r="805" spans="1:30" s="161" customFormat="1" ht="39.950000000000003" hidden="1" customHeight="1" outlineLevel="2" x14ac:dyDescent="0.25">
      <c r="A805" s="21"/>
      <c r="B805" s="21" t="s">
        <v>631</v>
      </c>
      <c r="C805" s="159" t="s">
        <v>753</v>
      </c>
      <c r="D805" s="161">
        <v>29310</v>
      </c>
      <c r="E805" s="161">
        <v>183</v>
      </c>
      <c r="F805" s="161">
        <v>160</v>
      </c>
      <c r="G805" s="161" t="s">
        <v>754</v>
      </c>
      <c r="H805" s="161" t="s">
        <v>138</v>
      </c>
      <c r="I805" s="161">
        <v>67</v>
      </c>
      <c r="J805" s="161" t="s">
        <v>105</v>
      </c>
      <c r="K805" s="21" t="s">
        <v>106</v>
      </c>
      <c r="L805" s="161" t="s">
        <v>3380</v>
      </c>
      <c r="M805" s="21" t="s">
        <v>107</v>
      </c>
      <c r="N805" s="161" t="s">
        <v>108</v>
      </c>
      <c r="O805" s="21" t="s">
        <v>139</v>
      </c>
      <c r="P805" s="161" t="s">
        <v>109</v>
      </c>
      <c r="Q805" s="21" t="s">
        <v>70</v>
      </c>
      <c r="R805" s="161">
        <v>80</v>
      </c>
      <c r="S805" s="161" t="s">
        <v>698</v>
      </c>
      <c r="T805" s="161" t="s">
        <v>141</v>
      </c>
      <c r="U805" s="161" t="s">
        <v>73</v>
      </c>
      <c r="V805" s="21" t="s">
        <v>74</v>
      </c>
      <c r="W805" s="21" t="s">
        <v>160</v>
      </c>
      <c r="X805" s="161" t="s">
        <v>702</v>
      </c>
      <c r="Y805" s="161">
        <v>1.554E-2</v>
      </c>
      <c r="Z805" s="161">
        <v>3.3</v>
      </c>
      <c r="AA805" s="161" t="s">
        <v>77</v>
      </c>
      <c r="AB805" s="161" t="s">
        <v>114</v>
      </c>
      <c r="AC805" s="266" t="str">
        <f>HYPERLINK("https://gcsvt.ru/svetodiodnyie-svetilniki/svt-str-m-61w-trio-c-s-zashchitoy-ot-380/","Ссылка")</f>
        <v>Ссылка</v>
      </c>
      <c r="AD805" s="167">
        <v>19890</v>
      </c>
    </row>
    <row r="806" spans="1:30" s="161" customFormat="1" ht="39.950000000000003" hidden="1" customHeight="1" outlineLevel="2" x14ac:dyDescent="0.25">
      <c r="A806" s="21"/>
      <c r="B806" s="21" t="s">
        <v>631</v>
      </c>
      <c r="C806" s="159" t="s">
        <v>755</v>
      </c>
      <c r="D806" s="161">
        <v>29310</v>
      </c>
      <c r="E806" s="161">
        <v>183</v>
      </c>
      <c r="F806" s="161">
        <v>160</v>
      </c>
      <c r="G806" s="161" t="s">
        <v>756</v>
      </c>
      <c r="H806" s="161" t="s">
        <v>641</v>
      </c>
      <c r="I806" s="161">
        <v>67</v>
      </c>
      <c r="J806" s="161" t="s">
        <v>105</v>
      </c>
      <c r="K806" s="21" t="s">
        <v>106</v>
      </c>
      <c r="L806" s="161" t="s">
        <v>3380</v>
      </c>
      <c r="M806" s="21" t="s">
        <v>107</v>
      </c>
      <c r="N806" s="161" t="s">
        <v>108</v>
      </c>
      <c r="O806" s="21" t="s">
        <v>139</v>
      </c>
      <c r="P806" s="161" t="s">
        <v>109</v>
      </c>
      <c r="Q806" s="21" t="s">
        <v>70</v>
      </c>
      <c r="R806" s="161">
        <v>80</v>
      </c>
      <c r="S806" s="161" t="s">
        <v>698</v>
      </c>
      <c r="T806" s="161" t="s">
        <v>141</v>
      </c>
      <c r="U806" s="161" t="s">
        <v>73</v>
      </c>
      <c r="V806" s="21" t="s">
        <v>74</v>
      </c>
      <c r="W806" s="21" t="s">
        <v>112</v>
      </c>
      <c r="X806" s="161" t="s">
        <v>702</v>
      </c>
      <c r="Y806" s="161">
        <v>1.554E-2</v>
      </c>
      <c r="Z806" s="161">
        <v>3.3</v>
      </c>
      <c r="AA806" s="161" t="s">
        <v>77</v>
      </c>
      <c r="AB806" s="161" t="s">
        <v>114</v>
      </c>
      <c r="AC806" s="266" t="str">
        <f>HYPERLINK("https://gcsvt.ru/svetodiodnyie-svetilniki/svt-str-m-61w-trio90-s-zashchitoy-ot-380/","Ссылка")</f>
        <v>Ссылка</v>
      </c>
      <c r="AD806" s="167">
        <v>19890</v>
      </c>
    </row>
    <row r="807" spans="1:30" s="161" customFormat="1" ht="39.950000000000003" hidden="1" customHeight="1" outlineLevel="2" x14ac:dyDescent="0.25">
      <c r="A807" s="21"/>
      <c r="B807" s="21" t="s">
        <v>631</v>
      </c>
      <c r="C807" s="159" t="s">
        <v>757</v>
      </c>
      <c r="D807" s="161">
        <v>29310</v>
      </c>
      <c r="E807" s="161">
        <v>183</v>
      </c>
      <c r="F807" s="161">
        <v>160</v>
      </c>
      <c r="G807" s="161" t="s">
        <v>758</v>
      </c>
      <c r="H807" s="161" t="s">
        <v>641</v>
      </c>
      <c r="I807" s="161">
        <v>67</v>
      </c>
      <c r="J807" s="161" t="s">
        <v>105</v>
      </c>
      <c r="K807" s="21" t="s">
        <v>106</v>
      </c>
      <c r="L807" s="161" t="s">
        <v>3380</v>
      </c>
      <c r="M807" s="21" t="s">
        <v>107</v>
      </c>
      <c r="N807" s="161" t="s">
        <v>108</v>
      </c>
      <c r="O807" s="21" t="s">
        <v>139</v>
      </c>
      <c r="P807" s="161" t="s">
        <v>109</v>
      </c>
      <c r="Q807" s="21" t="s">
        <v>70</v>
      </c>
      <c r="R807" s="161">
        <v>80</v>
      </c>
      <c r="S807" s="161" t="s">
        <v>698</v>
      </c>
      <c r="T807" s="161" t="s">
        <v>141</v>
      </c>
      <c r="U807" s="161" t="s">
        <v>73</v>
      </c>
      <c r="V807" s="21" t="s">
        <v>74</v>
      </c>
      <c r="W807" s="21" t="s">
        <v>160</v>
      </c>
      <c r="X807" s="161" t="s">
        <v>707</v>
      </c>
      <c r="Y807" s="161">
        <v>1.554E-2</v>
      </c>
      <c r="Z807" s="161">
        <v>3.3</v>
      </c>
      <c r="AA807" s="161" t="s">
        <v>77</v>
      </c>
      <c r="AB807" s="161" t="s">
        <v>114</v>
      </c>
      <c r="AC807" s="266" t="str">
        <f>HYPERLINK("https://gcsvt.ru/svetodiodnyie-svetilniki/svt-str-m-61w-trio90-c-s-zashchitoy-ot-380/","Ссылка")</f>
        <v>Ссылка</v>
      </c>
      <c r="AD807" s="167">
        <v>19890</v>
      </c>
    </row>
    <row r="808" spans="1:30" s="161" customFormat="1" ht="39.950000000000003" hidden="1" customHeight="1" outlineLevel="2" x14ac:dyDescent="0.25">
      <c r="A808" s="21"/>
      <c r="B808" s="21" t="s">
        <v>631</v>
      </c>
      <c r="C808" s="159" t="s">
        <v>2810</v>
      </c>
      <c r="D808" s="161">
        <v>24940</v>
      </c>
      <c r="E808" s="161">
        <v>160</v>
      </c>
      <c r="F808" s="167">
        <v>155.875</v>
      </c>
      <c r="G808" s="161" t="s">
        <v>2822</v>
      </c>
      <c r="H808" s="161" t="s">
        <v>138</v>
      </c>
      <c r="I808" s="161">
        <v>67</v>
      </c>
      <c r="J808" s="161" t="s">
        <v>105</v>
      </c>
      <c r="K808" s="21" t="s">
        <v>106</v>
      </c>
      <c r="L808" s="161" t="s">
        <v>3380</v>
      </c>
      <c r="M808" s="21" t="s">
        <v>157</v>
      </c>
      <c r="N808" s="161" t="s">
        <v>67</v>
      </c>
      <c r="O808" s="21" t="s">
        <v>139</v>
      </c>
      <c r="P808" s="161" t="s">
        <v>109</v>
      </c>
      <c r="Q808" s="21" t="s">
        <v>70</v>
      </c>
      <c r="R808" s="161">
        <v>80</v>
      </c>
      <c r="S808" s="161" t="s">
        <v>2816</v>
      </c>
      <c r="T808" s="161" t="s">
        <v>141</v>
      </c>
      <c r="U808" s="161" t="s">
        <v>73</v>
      </c>
      <c r="V808" s="21" t="s">
        <v>74</v>
      </c>
      <c r="W808" s="21" t="s">
        <v>112</v>
      </c>
      <c r="X808" s="161" t="s">
        <v>2828</v>
      </c>
      <c r="Y808" s="161">
        <v>2.9000000000000001E-2</v>
      </c>
      <c r="Z808" s="161">
        <v>3.6</v>
      </c>
      <c r="AA808" s="161" t="s">
        <v>77</v>
      </c>
      <c r="AB808" s="161" t="s">
        <v>114</v>
      </c>
      <c r="AC808" s="266" t="str">
        <f>HYPERLINK("https://gcsvt.ru/svetodiodnyie-svetilniki/svt-str-m-80w-duo/","Ссылка")</f>
        <v>Ссылка</v>
      </c>
      <c r="AD808" s="167">
        <v>19380</v>
      </c>
    </row>
    <row r="809" spans="1:30" s="161" customFormat="1" ht="39.950000000000003" hidden="1" customHeight="1" outlineLevel="2" x14ac:dyDescent="0.25">
      <c r="A809" s="21"/>
      <c r="B809" s="21" t="s">
        <v>631</v>
      </c>
      <c r="C809" s="159" t="s">
        <v>2811</v>
      </c>
      <c r="D809" s="161">
        <v>24940</v>
      </c>
      <c r="E809" s="161">
        <v>160</v>
      </c>
      <c r="F809" s="167">
        <v>155.875</v>
      </c>
      <c r="G809" s="161" t="s">
        <v>2821</v>
      </c>
      <c r="H809" s="161" t="s">
        <v>138</v>
      </c>
      <c r="I809" s="161">
        <v>67</v>
      </c>
      <c r="J809" s="161" t="s">
        <v>105</v>
      </c>
      <c r="K809" s="21" t="s">
        <v>106</v>
      </c>
      <c r="L809" s="161" t="s">
        <v>3380</v>
      </c>
      <c r="M809" s="21" t="s">
        <v>157</v>
      </c>
      <c r="N809" s="161" t="s">
        <v>67</v>
      </c>
      <c r="O809" s="21" t="s">
        <v>139</v>
      </c>
      <c r="P809" s="161" t="s">
        <v>109</v>
      </c>
      <c r="Q809" s="21" t="s">
        <v>70</v>
      </c>
      <c r="R809" s="161">
        <v>80</v>
      </c>
      <c r="S809" s="161" t="s">
        <v>2816</v>
      </c>
      <c r="T809" s="161" t="s">
        <v>141</v>
      </c>
      <c r="U809" s="161" t="s">
        <v>73</v>
      </c>
      <c r="V809" s="21" t="s">
        <v>74</v>
      </c>
      <c r="W809" s="21" t="s">
        <v>160</v>
      </c>
      <c r="X809" s="161" t="s">
        <v>2832</v>
      </c>
      <c r="Y809" s="161">
        <v>1.7600000000000001E-2</v>
      </c>
      <c r="Z809" s="161">
        <v>3.6</v>
      </c>
      <c r="AA809" s="161" t="s">
        <v>77</v>
      </c>
      <c r="AB809" s="161" t="s">
        <v>114</v>
      </c>
      <c r="AC809" s="266" t="str">
        <f>HYPERLINK("https://gcsvt.ru/svetodiodnyie-svetilniki/svt-str-m-80w-duo-c/","Ссылка")</f>
        <v>Ссылка</v>
      </c>
      <c r="AD809" s="167">
        <v>19380</v>
      </c>
    </row>
    <row r="810" spans="1:30" s="161" customFormat="1" ht="39.950000000000003" hidden="1" customHeight="1" outlineLevel="2" x14ac:dyDescent="0.25">
      <c r="A810" s="21"/>
      <c r="B810" s="21" t="s">
        <v>631</v>
      </c>
      <c r="C810" s="159" t="s">
        <v>2812</v>
      </c>
      <c r="D810" s="161">
        <v>37410</v>
      </c>
      <c r="E810" s="161">
        <v>240</v>
      </c>
      <c r="F810" s="167">
        <v>155.875</v>
      </c>
      <c r="G810" s="161" t="s">
        <v>2823</v>
      </c>
      <c r="H810" s="161" t="s">
        <v>138</v>
      </c>
      <c r="I810" s="161">
        <v>67</v>
      </c>
      <c r="J810" s="161" t="s">
        <v>105</v>
      </c>
      <c r="K810" s="21" t="s">
        <v>106</v>
      </c>
      <c r="L810" s="161" t="s">
        <v>3380</v>
      </c>
      <c r="M810" s="21" t="s">
        <v>157</v>
      </c>
      <c r="N810" s="161" t="s">
        <v>67</v>
      </c>
      <c r="O810" s="21" t="s">
        <v>139</v>
      </c>
      <c r="P810" s="161" t="s">
        <v>109</v>
      </c>
      <c r="Q810" s="21" t="s">
        <v>70</v>
      </c>
      <c r="R810" s="161">
        <v>80</v>
      </c>
      <c r="S810" s="161" t="s">
        <v>2817</v>
      </c>
      <c r="T810" s="161" t="s">
        <v>141</v>
      </c>
      <c r="U810" s="161" t="s">
        <v>73</v>
      </c>
      <c r="V810" s="21" t="s">
        <v>74</v>
      </c>
      <c r="W810" s="21" t="s">
        <v>112</v>
      </c>
      <c r="X810" s="161" t="s">
        <v>2829</v>
      </c>
      <c r="Y810" s="161">
        <v>2.7380000000000002E-2</v>
      </c>
      <c r="Z810" s="161">
        <v>5.4</v>
      </c>
      <c r="AA810" s="161" t="s">
        <v>77</v>
      </c>
      <c r="AB810" s="161" t="s">
        <v>114</v>
      </c>
      <c r="AC810" s="266" t="str">
        <f>HYPERLINK("https://gcsvt.ru/svetodiodnyie-svetilniki/svt-str-m-80w-trio/","Ссылка")</f>
        <v>Ссылка</v>
      </c>
      <c r="AD810" s="167">
        <v>29070</v>
      </c>
    </row>
    <row r="811" spans="1:30" s="161" customFormat="1" ht="39.950000000000003" hidden="1" customHeight="1" outlineLevel="2" x14ac:dyDescent="0.25">
      <c r="A811" s="21"/>
      <c r="B811" s="21" t="s">
        <v>631</v>
      </c>
      <c r="C811" s="159" t="s">
        <v>2813</v>
      </c>
      <c r="D811" s="161">
        <v>37410</v>
      </c>
      <c r="E811" s="161">
        <v>240</v>
      </c>
      <c r="F811" s="167">
        <v>155.875</v>
      </c>
      <c r="G811" s="161" t="s">
        <v>2824</v>
      </c>
      <c r="H811" s="161" t="s">
        <v>138</v>
      </c>
      <c r="I811" s="161">
        <v>67</v>
      </c>
      <c r="J811" s="161" t="s">
        <v>105</v>
      </c>
      <c r="K811" s="21" t="s">
        <v>106</v>
      </c>
      <c r="L811" s="161" t="s">
        <v>3380</v>
      </c>
      <c r="M811" s="21" t="s">
        <v>157</v>
      </c>
      <c r="N811" s="161" t="s">
        <v>67</v>
      </c>
      <c r="O811" s="21" t="s">
        <v>139</v>
      </c>
      <c r="P811" s="161" t="s">
        <v>109</v>
      </c>
      <c r="Q811" s="21" t="s">
        <v>70</v>
      </c>
      <c r="R811" s="161">
        <v>80</v>
      </c>
      <c r="S811" s="161" t="s">
        <v>2817</v>
      </c>
      <c r="T811" s="161" t="s">
        <v>141</v>
      </c>
      <c r="U811" s="161" t="s">
        <v>73</v>
      </c>
      <c r="V811" s="21" t="s">
        <v>74</v>
      </c>
      <c r="W811" s="21" t="s">
        <v>160</v>
      </c>
      <c r="X811" s="161" t="s">
        <v>2833</v>
      </c>
      <c r="Y811" s="161">
        <v>2.7380000000000002E-2</v>
      </c>
      <c r="Z811" s="161">
        <v>5.4</v>
      </c>
      <c r="AA811" s="161" t="s">
        <v>77</v>
      </c>
      <c r="AB811" s="161" t="s">
        <v>114</v>
      </c>
      <c r="AC811" s="266" t="str">
        <f>HYPERLINK("https://gcsvt.ru/svetodiodnyie-svetilniki/svt-str-m-80w-trio-c/","Ссылка")</f>
        <v>Ссылка</v>
      </c>
      <c r="AD811" s="167">
        <v>29070</v>
      </c>
    </row>
    <row r="812" spans="1:30" s="161" customFormat="1" ht="39.950000000000003" hidden="1" customHeight="1" outlineLevel="2" x14ac:dyDescent="0.25">
      <c r="A812" s="21"/>
      <c r="B812" s="21" t="s">
        <v>631</v>
      </c>
      <c r="C812" s="159" t="s">
        <v>2814</v>
      </c>
      <c r="D812" s="161">
        <v>49880</v>
      </c>
      <c r="E812" s="161">
        <v>320</v>
      </c>
      <c r="F812" s="167">
        <v>155.875</v>
      </c>
      <c r="G812" s="161" t="s">
        <v>2825</v>
      </c>
      <c r="H812" s="161" t="s">
        <v>138</v>
      </c>
      <c r="I812" s="161">
        <v>67</v>
      </c>
      <c r="J812" s="161" t="s">
        <v>105</v>
      </c>
      <c r="K812" s="21" t="s">
        <v>106</v>
      </c>
      <c r="L812" s="161" t="s">
        <v>3380</v>
      </c>
      <c r="M812" s="21" t="s">
        <v>157</v>
      </c>
      <c r="N812" s="161" t="s">
        <v>67</v>
      </c>
      <c r="O812" s="21" t="s">
        <v>139</v>
      </c>
      <c r="P812" s="161" t="s">
        <v>109</v>
      </c>
      <c r="Q812" s="21" t="s">
        <v>70</v>
      </c>
      <c r="R812" s="161">
        <v>80</v>
      </c>
      <c r="S812" s="161" t="s">
        <v>2818</v>
      </c>
      <c r="T812" s="161" t="s">
        <v>141</v>
      </c>
      <c r="U812" s="161" t="s">
        <v>73</v>
      </c>
      <c r="V812" s="21" t="s">
        <v>74</v>
      </c>
      <c r="W812" s="21" t="s">
        <v>112</v>
      </c>
      <c r="X812" s="161" t="s">
        <v>2830</v>
      </c>
      <c r="Y812" s="161">
        <v>0.04</v>
      </c>
      <c r="Z812" s="161">
        <v>7.2</v>
      </c>
      <c r="AA812" s="161" t="s">
        <v>77</v>
      </c>
      <c r="AB812" s="161" t="s">
        <v>114</v>
      </c>
      <c r="AC812" s="266" t="str">
        <f>HYPERLINK("https://gcsvt.ru/svetodiodnyie-svetilniki/svt-str-m-80w-quattro/","Ссылка")</f>
        <v>Ссылка</v>
      </c>
      <c r="AD812" s="167">
        <v>38760</v>
      </c>
    </row>
    <row r="813" spans="1:30" s="161" customFormat="1" ht="39.950000000000003" hidden="1" customHeight="1" outlineLevel="2" x14ac:dyDescent="0.25">
      <c r="A813" s="21"/>
      <c r="B813" s="21" t="s">
        <v>631</v>
      </c>
      <c r="C813" s="159" t="s">
        <v>2815</v>
      </c>
      <c r="D813" s="161">
        <v>62350</v>
      </c>
      <c r="E813" s="161">
        <v>400</v>
      </c>
      <c r="F813" s="167">
        <v>155.875</v>
      </c>
      <c r="G813" s="161" t="s">
        <v>2826</v>
      </c>
      <c r="H813" s="161" t="s">
        <v>138</v>
      </c>
      <c r="I813" s="161">
        <v>67</v>
      </c>
      <c r="J813" s="161" t="s">
        <v>105</v>
      </c>
      <c r="K813" s="21" t="s">
        <v>106</v>
      </c>
      <c r="L813" s="161" t="s">
        <v>3380</v>
      </c>
      <c r="M813" s="21" t="s">
        <v>157</v>
      </c>
      <c r="N813" s="161" t="s">
        <v>67</v>
      </c>
      <c r="O813" s="21" t="s">
        <v>139</v>
      </c>
      <c r="P813" s="161" t="s">
        <v>109</v>
      </c>
      <c r="Q813" s="21" t="s">
        <v>70</v>
      </c>
      <c r="R813" s="161">
        <v>80</v>
      </c>
      <c r="S813" s="161" t="s">
        <v>2819</v>
      </c>
      <c r="T813" s="161" t="s">
        <v>141</v>
      </c>
      <c r="U813" s="161" t="s">
        <v>73</v>
      </c>
      <c r="V813" s="21" t="s">
        <v>74</v>
      </c>
      <c r="W813" s="21" t="s">
        <v>112</v>
      </c>
      <c r="X813" s="161" t="s">
        <v>2831</v>
      </c>
      <c r="Y813" s="161">
        <v>0.05</v>
      </c>
      <c r="Z813" s="161">
        <v>9</v>
      </c>
      <c r="AA813" s="161" t="s">
        <v>77</v>
      </c>
      <c r="AB813" s="161" t="s">
        <v>114</v>
      </c>
      <c r="AC813" s="266" t="str">
        <f>HYPERLINK("https://gcsvt.ru/svetodiodnyie-svetilniki/svt-str-m-80w-penta/","Ссылка")</f>
        <v>Ссылка</v>
      </c>
      <c r="AD813" s="167">
        <v>48450</v>
      </c>
    </row>
    <row r="814" spans="1:30" s="161" customFormat="1" ht="39.950000000000003" hidden="1" customHeight="1" outlineLevel="2" x14ac:dyDescent="0.25">
      <c r="A814" s="21"/>
      <c r="B814" s="21" t="s">
        <v>631</v>
      </c>
      <c r="C814" s="159" t="s">
        <v>759</v>
      </c>
      <c r="D814" s="161">
        <v>28480</v>
      </c>
      <c r="E814" s="161">
        <v>192</v>
      </c>
      <c r="F814" s="161">
        <v>148</v>
      </c>
      <c r="G814" s="161" t="s">
        <v>760</v>
      </c>
      <c r="H814" s="161" t="s">
        <v>138</v>
      </c>
      <c r="I814" s="161">
        <v>67</v>
      </c>
      <c r="J814" s="161" t="s">
        <v>105</v>
      </c>
      <c r="K814" s="21" t="s">
        <v>106</v>
      </c>
      <c r="L814" s="161" t="s">
        <v>3380</v>
      </c>
      <c r="M814" s="21" t="s">
        <v>157</v>
      </c>
      <c r="N814" s="161" t="s">
        <v>67</v>
      </c>
      <c r="O814" s="21" t="s">
        <v>139</v>
      </c>
      <c r="P814" s="161" t="s">
        <v>109</v>
      </c>
      <c r="Q814" s="21" t="s">
        <v>70</v>
      </c>
      <c r="R814" s="161">
        <v>80</v>
      </c>
      <c r="S814" s="161" t="s">
        <v>761</v>
      </c>
      <c r="T814" s="161" t="s">
        <v>141</v>
      </c>
      <c r="U814" s="161" t="s">
        <v>73</v>
      </c>
      <c r="V814" s="21" t="s">
        <v>74</v>
      </c>
      <c r="W814" s="21" t="s">
        <v>762</v>
      </c>
      <c r="X814" s="161" t="s">
        <v>2820</v>
      </c>
      <c r="Y814" s="161">
        <v>1.4749999999999999E-2</v>
      </c>
      <c r="Z814" s="161">
        <v>4</v>
      </c>
      <c r="AA814" s="161" t="s">
        <v>77</v>
      </c>
      <c r="AB814" s="161" t="s">
        <v>114</v>
      </c>
      <c r="AC814" s="266" t="str">
        <f>HYPERLINK("https://gcsvt.ru/svetodiodnyie-svetilniki/svt-str-m-96w-duo/","Ссылка")</f>
        <v>Ссылка</v>
      </c>
      <c r="AD814" s="167">
        <v>19992</v>
      </c>
    </row>
    <row r="815" spans="1:30" s="161" customFormat="1" ht="39.950000000000003" hidden="1" customHeight="1" outlineLevel="2" x14ac:dyDescent="0.25">
      <c r="A815" s="21"/>
      <c r="B815" s="21" t="s">
        <v>631</v>
      </c>
      <c r="C815" s="159" t="s">
        <v>763</v>
      </c>
      <c r="D815" s="161">
        <v>28480</v>
      </c>
      <c r="E815" s="161">
        <v>192</v>
      </c>
      <c r="F815" s="161">
        <v>148</v>
      </c>
      <c r="G815" s="161" t="s">
        <v>764</v>
      </c>
      <c r="H815" s="161" t="s">
        <v>138</v>
      </c>
      <c r="I815" s="161">
        <v>67</v>
      </c>
      <c r="J815" s="161" t="s">
        <v>105</v>
      </c>
      <c r="K815" s="21" t="s">
        <v>106</v>
      </c>
      <c r="L815" s="161" t="s">
        <v>3380</v>
      </c>
      <c r="M815" s="21" t="s">
        <v>157</v>
      </c>
      <c r="N815" s="161" t="s">
        <v>67</v>
      </c>
      <c r="O815" s="21" t="s">
        <v>139</v>
      </c>
      <c r="P815" s="161" t="s">
        <v>109</v>
      </c>
      <c r="Q815" s="21" t="s">
        <v>70</v>
      </c>
      <c r="R815" s="161">
        <v>80</v>
      </c>
      <c r="S815" s="161" t="s">
        <v>761</v>
      </c>
      <c r="T815" s="161" t="s">
        <v>141</v>
      </c>
      <c r="U815" s="161" t="s">
        <v>73</v>
      </c>
      <c r="V815" s="21" t="s">
        <v>74</v>
      </c>
      <c r="W815" s="21" t="s">
        <v>160</v>
      </c>
      <c r="X815" s="161" t="s">
        <v>765</v>
      </c>
      <c r="Y815" s="161">
        <v>1.7600000000000001E-2</v>
      </c>
      <c r="Z815" s="161">
        <v>4</v>
      </c>
      <c r="AA815" s="161" t="s">
        <v>77</v>
      </c>
      <c r="AB815" s="161" t="s">
        <v>114</v>
      </c>
      <c r="AC815" s="266" t="str">
        <f>HYPERLINK("https://gcsvt.ru/svetodiodnyie-svetilniki/svt-str-m-96w-duo-c/","Ссылка")</f>
        <v>Ссылка</v>
      </c>
      <c r="AD815" s="167">
        <v>19992</v>
      </c>
    </row>
    <row r="816" spans="1:30" s="161" customFormat="1" ht="39.950000000000003" hidden="1" customHeight="1" outlineLevel="2" x14ac:dyDescent="0.25">
      <c r="A816" s="21"/>
      <c r="B816" s="21" t="s">
        <v>631</v>
      </c>
      <c r="C816" s="159" t="s">
        <v>766</v>
      </c>
      <c r="D816" s="161">
        <v>28480</v>
      </c>
      <c r="E816" s="161">
        <v>192</v>
      </c>
      <c r="F816" s="161">
        <v>148</v>
      </c>
      <c r="G816" s="161" t="s">
        <v>767</v>
      </c>
      <c r="H816" s="161" t="s">
        <v>641</v>
      </c>
      <c r="I816" s="161">
        <v>67</v>
      </c>
      <c r="J816" s="161" t="s">
        <v>105</v>
      </c>
      <c r="K816" s="21" t="s">
        <v>106</v>
      </c>
      <c r="L816" s="161" t="s">
        <v>3380</v>
      </c>
      <c r="M816" s="21" t="s">
        <v>157</v>
      </c>
      <c r="N816" s="161" t="s">
        <v>67</v>
      </c>
      <c r="O816" s="21" t="s">
        <v>139</v>
      </c>
      <c r="P816" s="161" t="s">
        <v>109</v>
      </c>
      <c r="Q816" s="21" t="s">
        <v>70</v>
      </c>
      <c r="R816" s="161">
        <v>80</v>
      </c>
      <c r="S816" s="161" t="s">
        <v>761</v>
      </c>
      <c r="T816" s="161" t="s">
        <v>141</v>
      </c>
      <c r="U816" s="161" t="s">
        <v>73</v>
      </c>
      <c r="V816" s="21" t="s">
        <v>74</v>
      </c>
      <c r="W816" s="21" t="s">
        <v>160</v>
      </c>
      <c r="X816" s="161" t="s">
        <v>768</v>
      </c>
      <c r="Y816" s="161">
        <v>2.418E-2</v>
      </c>
      <c r="Z816" s="161">
        <v>4</v>
      </c>
      <c r="AA816" s="161" t="s">
        <v>77</v>
      </c>
      <c r="AB816" s="161" t="s">
        <v>114</v>
      </c>
      <c r="AC816" s="266" t="str">
        <f>HYPERLINK("https://gcsvt.ru/svetodiodnyie-svetilniki/svt-str-m-96w-duo90-c/","Ссылка")</f>
        <v>Ссылка</v>
      </c>
      <c r="AD816" s="167">
        <v>19992</v>
      </c>
    </row>
    <row r="817" spans="1:30" s="161" customFormat="1" ht="39.950000000000003" hidden="1" customHeight="1" outlineLevel="2" x14ac:dyDescent="0.25">
      <c r="A817" s="21"/>
      <c r="B817" s="21" t="s">
        <v>631</v>
      </c>
      <c r="C817" s="159" t="s">
        <v>769</v>
      </c>
      <c r="D817" s="161">
        <v>42720</v>
      </c>
      <c r="E817" s="161">
        <v>288</v>
      </c>
      <c r="F817" s="161">
        <v>148</v>
      </c>
      <c r="G817" s="161" t="s">
        <v>770</v>
      </c>
      <c r="H817" s="161" t="s">
        <v>138</v>
      </c>
      <c r="I817" s="161">
        <v>67</v>
      </c>
      <c r="J817" s="161" t="s">
        <v>105</v>
      </c>
      <c r="K817" s="21" t="s">
        <v>106</v>
      </c>
      <c r="L817" s="161" t="s">
        <v>3380</v>
      </c>
      <c r="M817" s="21" t="s">
        <v>157</v>
      </c>
      <c r="N817" s="161" t="s">
        <v>67</v>
      </c>
      <c r="O817" s="21" t="s">
        <v>139</v>
      </c>
      <c r="P817" s="161" t="s">
        <v>109</v>
      </c>
      <c r="Q817" s="21" t="s">
        <v>70</v>
      </c>
      <c r="R817" s="161">
        <v>80</v>
      </c>
      <c r="S817" s="161" t="s">
        <v>771</v>
      </c>
      <c r="T817" s="161" t="s">
        <v>141</v>
      </c>
      <c r="U817" s="161" t="s">
        <v>73</v>
      </c>
      <c r="V817" s="21" t="s">
        <v>74</v>
      </c>
      <c r="W817" s="21" t="s">
        <v>762</v>
      </c>
      <c r="X817" s="161" t="s">
        <v>772</v>
      </c>
      <c r="Y817" s="161">
        <v>2.7380000000000002E-2</v>
      </c>
      <c r="Z817" s="161">
        <v>6</v>
      </c>
      <c r="AA817" s="161" t="s">
        <v>77</v>
      </c>
      <c r="AB817" s="161" t="s">
        <v>114</v>
      </c>
      <c r="AC817" s="266" t="str">
        <f>HYPERLINK("https://gcsvt.ru/svetodiodnyie-svetilniki/svt-str-m-96w-trio/","Ссылка")</f>
        <v>Ссылка</v>
      </c>
      <c r="AD817" s="167">
        <v>30192</v>
      </c>
    </row>
    <row r="818" spans="1:30" s="161" customFormat="1" ht="39.950000000000003" hidden="1" customHeight="1" outlineLevel="2" x14ac:dyDescent="0.25">
      <c r="A818" s="21"/>
      <c r="B818" s="21" t="s">
        <v>631</v>
      </c>
      <c r="C818" s="159" t="s">
        <v>773</v>
      </c>
      <c r="D818" s="161">
        <v>42720</v>
      </c>
      <c r="E818" s="161">
        <v>288</v>
      </c>
      <c r="F818" s="161">
        <v>148</v>
      </c>
      <c r="G818" s="161" t="s">
        <v>774</v>
      </c>
      <c r="H818" s="161" t="s">
        <v>138</v>
      </c>
      <c r="I818" s="161">
        <v>67</v>
      </c>
      <c r="J818" s="161" t="s">
        <v>105</v>
      </c>
      <c r="K818" s="21" t="s">
        <v>106</v>
      </c>
      <c r="L818" s="161" t="s">
        <v>3380</v>
      </c>
      <c r="M818" s="21" t="s">
        <v>157</v>
      </c>
      <c r="N818" s="161" t="s">
        <v>67</v>
      </c>
      <c r="O818" s="21" t="s">
        <v>139</v>
      </c>
      <c r="P818" s="161" t="s">
        <v>109</v>
      </c>
      <c r="Q818" s="21" t="s">
        <v>70</v>
      </c>
      <c r="R818" s="161">
        <v>80</v>
      </c>
      <c r="S818" s="161" t="s">
        <v>771</v>
      </c>
      <c r="T818" s="161" t="s">
        <v>141</v>
      </c>
      <c r="U818" s="161" t="s">
        <v>73</v>
      </c>
      <c r="V818" s="21" t="s">
        <v>74</v>
      </c>
      <c r="W818" s="21" t="s">
        <v>160</v>
      </c>
      <c r="X818" s="161" t="s">
        <v>775</v>
      </c>
      <c r="Y818" s="161">
        <v>2.7380000000000002E-2</v>
      </c>
      <c r="Z818" s="161">
        <v>6</v>
      </c>
      <c r="AA818" s="161" t="s">
        <v>77</v>
      </c>
      <c r="AB818" s="161" t="s">
        <v>114</v>
      </c>
      <c r="AC818" s="266" t="str">
        <f>HYPERLINK("https://gcsvt.ru/svetodiodnyie-svetilniki/svt-str-m-96w-trio-c/","Ссылка")</f>
        <v>Ссылка</v>
      </c>
      <c r="AD818" s="167">
        <v>30192</v>
      </c>
    </row>
    <row r="819" spans="1:30" s="161" customFormat="1" ht="39.950000000000003" hidden="1" customHeight="1" outlineLevel="2" x14ac:dyDescent="0.25">
      <c r="A819" s="21"/>
      <c r="B819" s="21" t="s">
        <v>631</v>
      </c>
      <c r="C819" s="159" t="s">
        <v>776</v>
      </c>
      <c r="D819" s="161">
        <v>56960</v>
      </c>
      <c r="E819" s="161">
        <v>384</v>
      </c>
      <c r="F819" s="161">
        <v>148</v>
      </c>
      <c r="G819" s="161" t="s">
        <v>777</v>
      </c>
      <c r="H819" s="161" t="s">
        <v>138</v>
      </c>
      <c r="I819" s="161">
        <v>67</v>
      </c>
      <c r="J819" s="161" t="s">
        <v>105</v>
      </c>
      <c r="K819" s="21" t="s">
        <v>106</v>
      </c>
      <c r="L819" s="161" t="s">
        <v>3380</v>
      </c>
      <c r="M819" s="21" t="s">
        <v>157</v>
      </c>
      <c r="N819" s="161" t="s">
        <v>67</v>
      </c>
      <c r="O819" s="21" t="s">
        <v>139</v>
      </c>
      <c r="P819" s="161" t="s">
        <v>109</v>
      </c>
      <c r="Q819" s="21" t="s">
        <v>70</v>
      </c>
      <c r="R819" s="161">
        <v>80</v>
      </c>
      <c r="S819" s="161" t="s">
        <v>778</v>
      </c>
      <c r="T819" s="161" t="s">
        <v>141</v>
      </c>
      <c r="U819" s="161" t="s">
        <v>73</v>
      </c>
      <c r="V819" s="21" t="s">
        <v>74</v>
      </c>
      <c r="W819" s="21" t="s">
        <v>762</v>
      </c>
      <c r="X819" s="161" t="s">
        <v>779</v>
      </c>
      <c r="Y819" s="161">
        <v>0.04</v>
      </c>
      <c r="Z819" s="161">
        <v>8</v>
      </c>
      <c r="AA819" s="161" t="s">
        <v>77</v>
      </c>
      <c r="AB819" s="161" t="s">
        <v>114</v>
      </c>
      <c r="AC819" s="266" t="str">
        <f>HYPERLINK("https://gcsvt.ru/svetodiodnyie-svetilniki/svt-str-m-96w-quattro/","Ссылка")</f>
        <v>Ссылка</v>
      </c>
      <c r="AD819" s="167">
        <v>39984</v>
      </c>
    </row>
    <row r="820" spans="1:30" s="161" customFormat="1" ht="39.950000000000003" hidden="1" customHeight="1" outlineLevel="2" x14ac:dyDescent="0.25">
      <c r="A820" s="21"/>
      <c r="B820" s="21" t="s">
        <v>631</v>
      </c>
      <c r="C820" s="159" t="s">
        <v>780</v>
      </c>
      <c r="D820" s="161">
        <v>71200</v>
      </c>
      <c r="E820" s="161">
        <v>480</v>
      </c>
      <c r="F820" s="161">
        <v>148</v>
      </c>
      <c r="G820" s="161" t="s">
        <v>781</v>
      </c>
      <c r="H820" s="161" t="s">
        <v>138</v>
      </c>
      <c r="I820" s="161">
        <v>67</v>
      </c>
      <c r="J820" s="161" t="s">
        <v>105</v>
      </c>
      <c r="K820" s="21" t="s">
        <v>106</v>
      </c>
      <c r="L820" s="161" t="s">
        <v>3380</v>
      </c>
      <c r="M820" s="21" t="s">
        <v>157</v>
      </c>
      <c r="N820" s="161" t="s">
        <v>67</v>
      </c>
      <c r="O820" s="21" t="s">
        <v>139</v>
      </c>
      <c r="P820" s="161" t="s">
        <v>109</v>
      </c>
      <c r="Q820" s="21" t="s">
        <v>70</v>
      </c>
      <c r="R820" s="161">
        <v>80</v>
      </c>
      <c r="S820" s="161" t="s">
        <v>782</v>
      </c>
      <c r="T820" s="161" t="s">
        <v>141</v>
      </c>
      <c r="U820" s="161" t="s">
        <v>73</v>
      </c>
      <c r="V820" s="21" t="s">
        <v>74</v>
      </c>
      <c r="W820" s="21" t="s">
        <v>762</v>
      </c>
      <c r="X820" s="161" t="s">
        <v>783</v>
      </c>
      <c r="Y820" s="161">
        <v>0.05</v>
      </c>
      <c r="Z820" s="161">
        <v>10</v>
      </c>
      <c r="AA820" s="161" t="s">
        <v>77</v>
      </c>
      <c r="AB820" s="161" t="s">
        <v>114</v>
      </c>
      <c r="AC820" s="266" t="str">
        <f>HYPERLINK("https://gcsvt.ru/svetodiodnyie-svetilniki/svt-str-m-96w-penta/","Ссылка")</f>
        <v>Ссылка</v>
      </c>
      <c r="AD820" s="167">
        <v>51000</v>
      </c>
    </row>
    <row r="821" spans="1:30" s="161" customFormat="1" ht="39.950000000000003" hidden="1" customHeight="1" outlineLevel="1" collapsed="1" x14ac:dyDescent="0.25">
      <c r="A821" s="165"/>
      <c r="B821" s="217" t="s">
        <v>870</v>
      </c>
      <c r="C821" s="218"/>
      <c r="K821" s="21"/>
      <c r="M821" s="21"/>
      <c r="O821" s="21"/>
      <c r="Q821" s="21"/>
      <c r="V821" s="21"/>
      <c r="W821" s="21"/>
      <c r="AC821" s="228"/>
      <c r="AD821" s="167"/>
    </row>
    <row r="822" spans="1:30" s="161" customFormat="1" ht="39.950000000000003" hidden="1" customHeight="1" outlineLevel="2" x14ac:dyDescent="0.25">
      <c r="A822" s="21"/>
      <c r="B822" s="21" t="s">
        <v>870</v>
      </c>
      <c r="C822" s="159" t="s">
        <v>2765</v>
      </c>
      <c r="D822" s="161">
        <v>8280</v>
      </c>
      <c r="E822" s="161">
        <v>54</v>
      </c>
      <c r="F822" s="161">
        <v>153</v>
      </c>
      <c r="G822" s="161" t="s">
        <v>871</v>
      </c>
      <c r="H822" s="161" t="s">
        <v>63</v>
      </c>
      <c r="I822" s="161">
        <v>67</v>
      </c>
      <c r="J822" s="161" t="s">
        <v>105</v>
      </c>
      <c r="K822" s="21" t="s">
        <v>106</v>
      </c>
      <c r="L822" s="161" t="s">
        <v>3380</v>
      </c>
      <c r="M822" s="21" t="s">
        <v>568</v>
      </c>
      <c r="N822" s="161" t="s">
        <v>108</v>
      </c>
      <c r="O822" s="21" t="s">
        <v>68</v>
      </c>
      <c r="P822" s="161" t="s">
        <v>109</v>
      </c>
      <c r="Q822" s="21" t="s">
        <v>70</v>
      </c>
      <c r="R822" s="161">
        <v>70</v>
      </c>
      <c r="S822" s="161" t="s">
        <v>872</v>
      </c>
      <c r="T822" s="161" t="s">
        <v>174</v>
      </c>
      <c r="U822" s="161" t="s">
        <v>142</v>
      </c>
      <c r="V822" s="21" t="s">
        <v>74</v>
      </c>
      <c r="W822" s="21" t="s">
        <v>160</v>
      </c>
      <c r="X822" s="161" t="s">
        <v>873</v>
      </c>
      <c r="Y822" s="161">
        <v>1.176E-2</v>
      </c>
      <c r="Z822" s="161">
        <v>2.6</v>
      </c>
      <c r="AA822" s="161" t="s">
        <v>144</v>
      </c>
      <c r="AB822" s="161" t="s">
        <v>114</v>
      </c>
      <c r="AC822" s="266" t="str">
        <f>HYPERLINK("https://gcsvt.ru/svetodiodnyie-svetilniki/svt-str-m-27w-45x140-duo-s/","Ссылка")</f>
        <v>Ссылка</v>
      </c>
      <c r="AD822" s="167">
        <v>11016</v>
      </c>
    </row>
    <row r="823" spans="1:30" s="161" customFormat="1" ht="39.950000000000003" hidden="1" customHeight="1" outlineLevel="2" x14ac:dyDescent="0.25">
      <c r="A823" s="21"/>
      <c r="B823" s="21" t="s">
        <v>870</v>
      </c>
      <c r="C823" s="159" t="s">
        <v>874</v>
      </c>
      <c r="D823" s="161">
        <v>8280</v>
      </c>
      <c r="E823" s="161">
        <v>54</v>
      </c>
      <c r="F823" s="161">
        <v>153</v>
      </c>
      <c r="G823" s="161" t="s">
        <v>875</v>
      </c>
      <c r="H823" s="161" t="s">
        <v>63</v>
      </c>
      <c r="I823" s="161">
        <v>67</v>
      </c>
      <c r="J823" s="161" t="s">
        <v>105</v>
      </c>
      <c r="K823" s="21" t="s">
        <v>106</v>
      </c>
      <c r="L823" s="161" t="s">
        <v>3380</v>
      </c>
      <c r="M823" s="21" t="s">
        <v>568</v>
      </c>
      <c r="N823" s="161" t="s">
        <v>108</v>
      </c>
      <c r="O823" s="21" t="s">
        <v>68</v>
      </c>
      <c r="P823" s="161" t="s">
        <v>109</v>
      </c>
      <c r="Q823" s="21" t="s">
        <v>70</v>
      </c>
      <c r="R823" s="161">
        <v>70</v>
      </c>
      <c r="S823" s="161" t="s">
        <v>872</v>
      </c>
      <c r="T823" s="161" t="s">
        <v>174</v>
      </c>
      <c r="U823" s="161" t="s">
        <v>142</v>
      </c>
      <c r="V823" s="21" t="s">
        <v>74</v>
      </c>
      <c r="W823" s="21" t="s">
        <v>876</v>
      </c>
      <c r="X823" s="161" t="s">
        <v>877</v>
      </c>
      <c r="Y823" s="161">
        <v>1.0500000000000001E-2</v>
      </c>
      <c r="Z823" s="161">
        <v>2.6</v>
      </c>
      <c r="AA823" s="161" t="s">
        <v>144</v>
      </c>
      <c r="AB823" s="161" t="s">
        <v>114</v>
      </c>
      <c r="AC823" s="266" t="str">
        <f>HYPERLINK("https://gcsvt.ru/svetodiodnyie-svetilniki/svt-str-m-27w-45x140-duo/","Ссылка")</f>
        <v>Ссылка</v>
      </c>
      <c r="AD823" s="167">
        <v>11016</v>
      </c>
    </row>
    <row r="824" spans="1:30" s="161" customFormat="1" ht="39.950000000000003" hidden="1" customHeight="1" outlineLevel="2" x14ac:dyDescent="0.25">
      <c r="A824" s="21"/>
      <c r="B824" s="21" t="s">
        <v>870</v>
      </c>
      <c r="C824" s="159" t="s">
        <v>878</v>
      </c>
      <c r="D824" s="161">
        <v>8280</v>
      </c>
      <c r="E824" s="161">
        <v>54</v>
      </c>
      <c r="F824" s="161">
        <v>153</v>
      </c>
      <c r="G824" s="161" t="s">
        <v>879</v>
      </c>
      <c r="H824" s="161" t="s">
        <v>177</v>
      </c>
      <c r="I824" s="161">
        <v>67</v>
      </c>
      <c r="J824" s="161" t="s">
        <v>105</v>
      </c>
      <c r="K824" s="21" t="s">
        <v>106</v>
      </c>
      <c r="L824" s="161" t="s">
        <v>3380</v>
      </c>
      <c r="M824" s="21" t="s">
        <v>568</v>
      </c>
      <c r="N824" s="161" t="s">
        <v>108</v>
      </c>
      <c r="O824" s="21" t="s">
        <v>68</v>
      </c>
      <c r="P824" s="161" t="s">
        <v>109</v>
      </c>
      <c r="Q824" s="21" t="s">
        <v>70</v>
      </c>
      <c r="R824" s="161">
        <v>70</v>
      </c>
      <c r="S824" s="161" t="s">
        <v>872</v>
      </c>
      <c r="T824" s="161" t="s">
        <v>174</v>
      </c>
      <c r="U824" s="161" t="s">
        <v>142</v>
      </c>
      <c r="V824" s="21" t="s">
        <v>74</v>
      </c>
      <c r="W824" s="21" t="s">
        <v>876</v>
      </c>
      <c r="X824" s="161" t="s">
        <v>877</v>
      </c>
      <c r="Y824" s="161">
        <v>1.0500000000000001E-2</v>
      </c>
      <c r="Z824" s="161">
        <v>2.6</v>
      </c>
      <c r="AA824" s="161" t="s">
        <v>144</v>
      </c>
      <c r="AB824" s="161" t="s">
        <v>114</v>
      </c>
      <c r="AC824" s="266" t="str">
        <f>HYPERLINK("https://gcsvt.ru/svetodiodnyie-svetilniki/SVT-STR-M-27W-20-DUO/","Ссылка")</f>
        <v>Ссылка</v>
      </c>
      <c r="AD824" s="167">
        <v>11016</v>
      </c>
    </row>
    <row r="825" spans="1:30" s="161" customFormat="1" ht="39.950000000000003" hidden="1" customHeight="1" outlineLevel="2" x14ac:dyDescent="0.25">
      <c r="A825" s="21"/>
      <c r="B825" s="21" t="s">
        <v>870</v>
      </c>
      <c r="C825" s="159" t="s">
        <v>880</v>
      </c>
      <c r="D825" s="161">
        <v>8280</v>
      </c>
      <c r="E825" s="161">
        <v>54</v>
      </c>
      <c r="F825" s="161">
        <v>153</v>
      </c>
      <c r="G825" s="161" t="s">
        <v>881</v>
      </c>
      <c r="H825" s="161" t="s">
        <v>180</v>
      </c>
      <c r="I825" s="161">
        <v>67</v>
      </c>
      <c r="J825" s="161" t="s">
        <v>105</v>
      </c>
      <c r="K825" s="21" t="s">
        <v>106</v>
      </c>
      <c r="L825" s="161" t="s">
        <v>3380</v>
      </c>
      <c r="M825" s="21" t="s">
        <v>568</v>
      </c>
      <c r="N825" s="161" t="s">
        <v>108</v>
      </c>
      <c r="O825" s="21" t="s">
        <v>68</v>
      </c>
      <c r="P825" s="161" t="s">
        <v>109</v>
      </c>
      <c r="Q825" s="21" t="s">
        <v>70</v>
      </c>
      <c r="R825" s="161">
        <v>70</v>
      </c>
      <c r="S825" s="161" t="s">
        <v>872</v>
      </c>
      <c r="T825" s="161" t="s">
        <v>174</v>
      </c>
      <c r="U825" s="161" t="s">
        <v>142</v>
      </c>
      <c r="V825" s="21" t="s">
        <v>74</v>
      </c>
      <c r="W825" s="21" t="s">
        <v>876</v>
      </c>
      <c r="X825" s="161" t="s">
        <v>877</v>
      </c>
      <c r="Y825" s="161">
        <v>1.0500000000000001E-2</v>
      </c>
      <c r="Z825" s="161">
        <v>2.6</v>
      </c>
      <c r="AA825" s="161" t="s">
        <v>144</v>
      </c>
      <c r="AB825" s="161" t="s">
        <v>114</v>
      </c>
      <c r="AC825" s="266" t="str">
        <f>HYPERLINK("https://gcsvt.ru/svetodiodnyie-svetilniki/SVT-STR-M-27W-35-DUO/","Ссылка")</f>
        <v>Ссылка</v>
      </c>
      <c r="AD825" s="167">
        <v>11016</v>
      </c>
    </row>
    <row r="826" spans="1:30" s="161" customFormat="1" ht="39.950000000000003" hidden="1" customHeight="1" outlineLevel="2" x14ac:dyDescent="0.25">
      <c r="A826" s="21"/>
      <c r="B826" s="21" t="s">
        <v>870</v>
      </c>
      <c r="C826" s="159" t="s">
        <v>882</v>
      </c>
      <c r="D826" s="161">
        <v>8280</v>
      </c>
      <c r="E826" s="161">
        <v>54</v>
      </c>
      <c r="F826" s="161">
        <v>153</v>
      </c>
      <c r="G826" s="161" t="s">
        <v>883</v>
      </c>
      <c r="H826" s="161" t="s">
        <v>183</v>
      </c>
      <c r="I826" s="161">
        <v>67</v>
      </c>
      <c r="J826" s="161" t="s">
        <v>105</v>
      </c>
      <c r="K826" s="21" t="s">
        <v>106</v>
      </c>
      <c r="L826" s="161" t="s">
        <v>3380</v>
      </c>
      <c r="M826" s="21" t="s">
        <v>568</v>
      </c>
      <c r="N826" s="161" t="s">
        <v>108</v>
      </c>
      <c r="O826" s="21" t="s">
        <v>68</v>
      </c>
      <c r="P826" s="161" t="s">
        <v>109</v>
      </c>
      <c r="Q826" s="21" t="s">
        <v>70</v>
      </c>
      <c r="R826" s="161">
        <v>70</v>
      </c>
      <c r="S826" s="161" t="s">
        <v>872</v>
      </c>
      <c r="T826" s="161" t="s">
        <v>174</v>
      </c>
      <c r="U826" s="161" t="s">
        <v>142</v>
      </c>
      <c r="V826" s="21" t="s">
        <v>74</v>
      </c>
      <c r="W826" s="21" t="s">
        <v>876</v>
      </c>
      <c r="X826" s="161" t="s">
        <v>877</v>
      </c>
      <c r="Y826" s="161">
        <v>1.0500000000000001E-2</v>
      </c>
      <c r="Z826" s="161">
        <v>2.6</v>
      </c>
      <c r="AA826" s="161" t="s">
        <v>144</v>
      </c>
      <c r="AB826" s="161" t="s">
        <v>114</v>
      </c>
      <c r="AC826" s="266" t="str">
        <f>HYPERLINK("https://gcsvt.ru/svetodiodnyie-svetilniki/SVT-STR-M-27W-65-DUO/","Ссылка")</f>
        <v>Ссылка</v>
      </c>
      <c r="AD826" s="167">
        <v>11016</v>
      </c>
    </row>
    <row r="827" spans="1:30" s="161" customFormat="1" ht="39.950000000000003" hidden="1" customHeight="1" outlineLevel="2" x14ac:dyDescent="0.25">
      <c r="A827" s="21"/>
      <c r="B827" s="21" t="s">
        <v>870</v>
      </c>
      <c r="C827" s="159" t="s">
        <v>884</v>
      </c>
      <c r="D827" s="161">
        <v>8280</v>
      </c>
      <c r="E827" s="161">
        <v>54</v>
      </c>
      <c r="F827" s="161">
        <v>153</v>
      </c>
      <c r="G827" s="161" t="s">
        <v>885</v>
      </c>
      <c r="H827" s="161" t="s">
        <v>186</v>
      </c>
      <c r="I827" s="161">
        <v>67</v>
      </c>
      <c r="J827" s="161" t="s">
        <v>105</v>
      </c>
      <c r="K827" s="21" t="s">
        <v>106</v>
      </c>
      <c r="L827" s="161" t="s">
        <v>3380</v>
      </c>
      <c r="M827" s="21" t="s">
        <v>568</v>
      </c>
      <c r="N827" s="161" t="s">
        <v>108</v>
      </c>
      <c r="O827" s="21" t="s">
        <v>68</v>
      </c>
      <c r="P827" s="161" t="s">
        <v>109</v>
      </c>
      <c r="Q827" s="21" t="s">
        <v>70</v>
      </c>
      <c r="R827" s="161">
        <v>70</v>
      </c>
      <c r="S827" s="161" t="s">
        <v>872</v>
      </c>
      <c r="T827" s="161" t="s">
        <v>174</v>
      </c>
      <c r="U827" s="161" t="s">
        <v>142</v>
      </c>
      <c r="V827" s="21" t="s">
        <v>74</v>
      </c>
      <c r="W827" s="21" t="s">
        <v>876</v>
      </c>
      <c r="X827" s="161" t="s">
        <v>877</v>
      </c>
      <c r="Y827" s="161">
        <v>1.0500000000000001E-2</v>
      </c>
      <c r="Z827" s="161">
        <v>2.6</v>
      </c>
      <c r="AA827" s="161" t="s">
        <v>144</v>
      </c>
      <c r="AB827" s="161" t="s">
        <v>114</v>
      </c>
      <c r="AC827" s="266" t="str">
        <f>HYPERLINK("https://gcsvt.ru/svetodiodnyie-svetilniki/svt-str-m-27w-100-duo/","Ссылка")</f>
        <v>Ссылка</v>
      </c>
      <c r="AD827" s="167">
        <v>11016</v>
      </c>
    </row>
    <row r="828" spans="1:30" s="161" customFormat="1" ht="39.950000000000003" hidden="1" customHeight="1" outlineLevel="2" x14ac:dyDescent="0.25">
      <c r="A828" s="21"/>
      <c r="B828" s="21" t="s">
        <v>870</v>
      </c>
      <c r="C828" s="159" t="s">
        <v>886</v>
      </c>
      <c r="D828" s="161">
        <v>8280</v>
      </c>
      <c r="E828" s="161">
        <v>54</v>
      </c>
      <c r="F828" s="161">
        <v>153</v>
      </c>
      <c r="G828" s="161" t="s">
        <v>887</v>
      </c>
      <c r="H828" s="161" t="s">
        <v>189</v>
      </c>
      <c r="I828" s="161">
        <v>67</v>
      </c>
      <c r="J828" s="161" t="s">
        <v>105</v>
      </c>
      <c r="K828" s="21" t="s">
        <v>106</v>
      </c>
      <c r="L828" s="161" t="s">
        <v>3380</v>
      </c>
      <c r="M828" s="21" t="s">
        <v>568</v>
      </c>
      <c r="N828" s="161" t="s">
        <v>108</v>
      </c>
      <c r="O828" s="21" t="s">
        <v>68</v>
      </c>
      <c r="P828" s="161" t="s">
        <v>109</v>
      </c>
      <c r="Q828" s="21" t="s">
        <v>70</v>
      </c>
      <c r="R828" s="161">
        <v>70</v>
      </c>
      <c r="S828" s="161" t="s">
        <v>872</v>
      </c>
      <c r="T828" s="161" t="s">
        <v>174</v>
      </c>
      <c r="U828" s="161" t="s">
        <v>142</v>
      </c>
      <c r="V828" s="21" t="s">
        <v>74</v>
      </c>
      <c r="W828" s="21" t="s">
        <v>876</v>
      </c>
      <c r="X828" s="161" t="s">
        <v>877</v>
      </c>
      <c r="Y828" s="161">
        <v>1.0500000000000001E-2</v>
      </c>
      <c r="Z828" s="161">
        <v>2.6</v>
      </c>
      <c r="AA828" s="161" t="s">
        <v>144</v>
      </c>
      <c r="AB828" s="161" t="s">
        <v>114</v>
      </c>
      <c r="AC828" s="266" t="str">
        <f>HYPERLINK("https://gcsvt.ru/svetodiodnyie-svetilniki/svt-str-m-27w-30x120-duo/","Ссылка")</f>
        <v>Ссылка</v>
      </c>
      <c r="AD828" s="167">
        <v>11016</v>
      </c>
    </row>
    <row r="829" spans="1:30" s="161" customFormat="1" ht="39.950000000000003" hidden="1" customHeight="1" outlineLevel="2" x14ac:dyDescent="0.25">
      <c r="A829" s="21"/>
      <c r="B829" s="21" t="s">
        <v>870</v>
      </c>
      <c r="C829" s="159" t="s">
        <v>888</v>
      </c>
      <c r="D829" s="161">
        <v>8280</v>
      </c>
      <c r="E829" s="161">
        <v>54</v>
      </c>
      <c r="F829" s="161">
        <v>153</v>
      </c>
      <c r="G829" s="161" t="s">
        <v>889</v>
      </c>
      <c r="H829" s="161" t="s">
        <v>192</v>
      </c>
      <c r="I829" s="161">
        <v>67</v>
      </c>
      <c r="J829" s="161" t="s">
        <v>105</v>
      </c>
      <c r="K829" s="21" t="s">
        <v>106</v>
      </c>
      <c r="L829" s="161" t="s">
        <v>3380</v>
      </c>
      <c r="M829" s="21" t="s">
        <v>568</v>
      </c>
      <c r="N829" s="161" t="s">
        <v>108</v>
      </c>
      <c r="O829" s="21" t="s">
        <v>68</v>
      </c>
      <c r="P829" s="161" t="s">
        <v>109</v>
      </c>
      <c r="Q829" s="21" t="s">
        <v>70</v>
      </c>
      <c r="R829" s="161">
        <v>70</v>
      </c>
      <c r="S829" s="161" t="s">
        <v>872</v>
      </c>
      <c r="T829" s="161" t="s">
        <v>174</v>
      </c>
      <c r="U829" s="161" t="s">
        <v>142</v>
      </c>
      <c r="V829" s="21" t="s">
        <v>74</v>
      </c>
      <c r="W829" s="21" t="s">
        <v>876</v>
      </c>
      <c r="X829" s="161" t="s">
        <v>877</v>
      </c>
      <c r="Y829" s="161">
        <v>1.0500000000000001E-2</v>
      </c>
      <c r="Z829" s="161">
        <v>2.6</v>
      </c>
      <c r="AA829" s="161" t="s">
        <v>144</v>
      </c>
      <c r="AB829" s="161" t="s">
        <v>114</v>
      </c>
      <c r="AC829" s="266" t="str">
        <f>HYPERLINK("https://gcsvt.ru/svetodiodnyie-svetilniki/svt-str-m-27w-vsm-duo/","Ссылка")</f>
        <v>Ссылка</v>
      </c>
      <c r="AD829" s="167">
        <v>11016</v>
      </c>
    </row>
    <row r="830" spans="1:30" s="161" customFormat="1" ht="39.950000000000003" hidden="1" customHeight="1" outlineLevel="2" x14ac:dyDescent="0.25">
      <c r="A830" s="21"/>
      <c r="B830" s="21" t="s">
        <v>870</v>
      </c>
      <c r="C830" s="159" t="s">
        <v>2766</v>
      </c>
      <c r="D830" s="161">
        <v>8280</v>
      </c>
      <c r="E830" s="161">
        <v>54</v>
      </c>
      <c r="F830" s="161">
        <v>153</v>
      </c>
      <c r="G830" s="161" t="s">
        <v>890</v>
      </c>
      <c r="H830" s="161" t="s">
        <v>63</v>
      </c>
      <c r="I830" s="161">
        <v>67</v>
      </c>
      <c r="J830" s="161" t="s">
        <v>105</v>
      </c>
      <c r="K830" s="21" t="s">
        <v>106</v>
      </c>
      <c r="L830" s="161" t="s">
        <v>3380</v>
      </c>
      <c r="M830" s="21" t="s">
        <v>107</v>
      </c>
      <c r="N830" s="161" t="s">
        <v>108</v>
      </c>
      <c r="O830" s="21" t="s">
        <v>68</v>
      </c>
      <c r="P830" s="161" t="s">
        <v>109</v>
      </c>
      <c r="Q830" s="21" t="s">
        <v>70</v>
      </c>
      <c r="R830" s="161">
        <v>70</v>
      </c>
      <c r="S830" s="161" t="s">
        <v>872</v>
      </c>
      <c r="T830" s="161" t="s">
        <v>174</v>
      </c>
      <c r="U830" s="161" t="s">
        <v>142</v>
      </c>
      <c r="V830" s="21" t="s">
        <v>74</v>
      </c>
      <c r="W830" s="21" t="s">
        <v>160</v>
      </c>
      <c r="X830" s="161" t="s">
        <v>873</v>
      </c>
      <c r="Y830" s="161">
        <v>1.176E-2</v>
      </c>
      <c r="Z830" s="161">
        <v>2.6</v>
      </c>
      <c r="AA830" s="161" t="s">
        <v>144</v>
      </c>
      <c r="AB830" s="161" t="s">
        <v>114</v>
      </c>
      <c r="AC830" s="266" t="str">
        <f>HYPERLINK("https://gcsvt.ru/svetodiodnyie-svetilniki/svt-str-m-27w-45x140-duo-s-s-zashchitoy-ot-380/","Ссылка")</f>
        <v>Ссылка</v>
      </c>
      <c r="AD830" s="167">
        <v>13056</v>
      </c>
    </row>
    <row r="831" spans="1:30" s="161" customFormat="1" ht="39.950000000000003" hidden="1" customHeight="1" outlineLevel="2" x14ac:dyDescent="0.25">
      <c r="A831" s="21"/>
      <c r="B831" s="21" t="s">
        <v>870</v>
      </c>
      <c r="C831" s="159" t="s">
        <v>891</v>
      </c>
      <c r="D831" s="161">
        <v>8280</v>
      </c>
      <c r="E831" s="161">
        <v>54</v>
      </c>
      <c r="F831" s="161">
        <v>153</v>
      </c>
      <c r="G831" s="161" t="s">
        <v>892</v>
      </c>
      <c r="H831" s="161" t="s">
        <v>63</v>
      </c>
      <c r="I831" s="161">
        <v>67</v>
      </c>
      <c r="J831" s="161" t="s">
        <v>105</v>
      </c>
      <c r="K831" s="21" t="s">
        <v>106</v>
      </c>
      <c r="L831" s="161" t="s">
        <v>3380</v>
      </c>
      <c r="M831" s="21" t="s">
        <v>107</v>
      </c>
      <c r="N831" s="161" t="s">
        <v>108</v>
      </c>
      <c r="O831" s="21" t="s">
        <v>68</v>
      </c>
      <c r="P831" s="161" t="s">
        <v>109</v>
      </c>
      <c r="Q831" s="21" t="s">
        <v>70</v>
      </c>
      <c r="R831" s="161">
        <v>70</v>
      </c>
      <c r="S831" s="161" t="s">
        <v>872</v>
      </c>
      <c r="T831" s="161" t="s">
        <v>174</v>
      </c>
      <c r="U831" s="161" t="s">
        <v>142</v>
      </c>
      <c r="V831" s="21" t="s">
        <v>74</v>
      </c>
      <c r="W831" s="21" t="s">
        <v>876</v>
      </c>
      <c r="X831" s="161" t="s">
        <v>877</v>
      </c>
      <c r="Y831" s="161">
        <v>1.0500000000000001E-2</v>
      </c>
      <c r="Z831" s="161">
        <v>2.6</v>
      </c>
      <c r="AA831" s="161" t="s">
        <v>144</v>
      </c>
      <c r="AB831" s="161" t="s">
        <v>114</v>
      </c>
      <c r="AC831" s="266" t="str">
        <f>HYPERLINK("https://gcsvt.ru/svetodiodnyie-svetilniki/svt-str-m-27w-45x140-duo-s-zashchitoy-ot-380/","Ссылка")</f>
        <v>Ссылка</v>
      </c>
      <c r="AD831" s="167">
        <v>13056</v>
      </c>
    </row>
    <row r="832" spans="1:30" s="161" customFormat="1" ht="39.950000000000003" hidden="1" customHeight="1" outlineLevel="2" x14ac:dyDescent="0.25">
      <c r="A832" s="21"/>
      <c r="B832" s="21" t="s">
        <v>870</v>
      </c>
      <c r="C832" s="159" t="s">
        <v>893</v>
      </c>
      <c r="D832" s="161">
        <v>8280</v>
      </c>
      <c r="E832" s="161">
        <v>54</v>
      </c>
      <c r="F832" s="161">
        <v>153</v>
      </c>
      <c r="G832" s="161" t="s">
        <v>894</v>
      </c>
      <c r="H832" s="161" t="s">
        <v>177</v>
      </c>
      <c r="I832" s="161">
        <v>67</v>
      </c>
      <c r="J832" s="161" t="s">
        <v>105</v>
      </c>
      <c r="K832" s="21" t="s">
        <v>106</v>
      </c>
      <c r="L832" s="161" t="s">
        <v>3380</v>
      </c>
      <c r="M832" s="21" t="s">
        <v>107</v>
      </c>
      <c r="N832" s="161" t="s">
        <v>108</v>
      </c>
      <c r="O832" s="21" t="s">
        <v>68</v>
      </c>
      <c r="P832" s="161" t="s">
        <v>109</v>
      </c>
      <c r="Q832" s="21" t="s">
        <v>70</v>
      </c>
      <c r="R832" s="161">
        <v>70</v>
      </c>
      <c r="S832" s="161" t="s">
        <v>872</v>
      </c>
      <c r="T832" s="161" t="s">
        <v>174</v>
      </c>
      <c r="U832" s="161" t="s">
        <v>142</v>
      </c>
      <c r="V832" s="21" t="s">
        <v>74</v>
      </c>
      <c r="W832" s="21" t="s">
        <v>876</v>
      </c>
      <c r="X832" s="161" t="s">
        <v>877</v>
      </c>
      <c r="Y832" s="161">
        <v>1.0500000000000001E-2</v>
      </c>
      <c r="Z832" s="161">
        <v>2.6</v>
      </c>
      <c r="AA832" s="161" t="s">
        <v>144</v>
      </c>
      <c r="AB832" s="161" t="s">
        <v>114</v>
      </c>
      <c r="AC832" s="266" t="str">
        <f>HYPERLINK("https://gcsvt.ru/svetodiodnyie-svetilniki/SVT-STR-M-27W-20-DUO-s-zashchitoy-ot-380/","Ссылка")</f>
        <v>Ссылка</v>
      </c>
      <c r="AD832" s="167">
        <v>13056</v>
      </c>
    </row>
    <row r="833" spans="1:30" s="161" customFormat="1" ht="39.950000000000003" hidden="1" customHeight="1" outlineLevel="2" x14ac:dyDescent="0.25">
      <c r="A833" s="21"/>
      <c r="B833" s="21" t="s">
        <v>870</v>
      </c>
      <c r="C833" s="159" t="s">
        <v>895</v>
      </c>
      <c r="D833" s="161">
        <v>8280</v>
      </c>
      <c r="E833" s="161">
        <v>54</v>
      </c>
      <c r="F833" s="161">
        <v>153</v>
      </c>
      <c r="G833" s="161" t="s">
        <v>896</v>
      </c>
      <c r="H833" s="161" t="s">
        <v>180</v>
      </c>
      <c r="I833" s="161">
        <v>67</v>
      </c>
      <c r="J833" s="161" t="s">
        <v>105</v>
      </c>
      <c r="K833" s="21" t="s">
        <v>106</v>
      </c>
      <c r="L833" s="161" t="s">
        <v>3380</v>
      </c>
      <c r="M833" s="21" t="s">
        <v>107</v>
      </c>
      <c r="N833" s="161" t="s">
        <v>108</v>
      </c>
      <c r="O833" s="21" t="s">
        <v>68</v>
      </c>
      <c r="P833" s="161" t="s">
        <v>109</v>
      </c>
      <c r="Q833" s="21" t="s">
        <v>70</v>
      </c>
      <c r="R833" s="161">
        <v>70</v>
      </c>
      <c r="S833" s="161" t="s">
        <v>872</v>
      </c>
      <c r="T833" s="161" t="s">
        <v>174</v>
      </c>
      <c r="U833" s="161" t="s">
        <v>142</v>
      </c>
      <c r="V833" s="21" t="s">
        <v>74</v>
      </c>
      <c r="W833" s="21" t="s">
        <v>876</v>
      </c>
      <c r="X833" s="161" t="s">
        <v>877</v>
      </c>
      <c r="Y833" s="161">
        <v>1.0500000000000001E-2</v>
      </c>
      <c r="Z833" s="161">
        <v>2.6</v>
      </c>
      <c r="AA833" s="161" t="s">
        <v>144</v>
      </c>
      <c r="AB833" s="161" t="s">
        <v>114</v>
      </c>
      <c r="AC833" s="266" t="str">
        <f>HYPERLINK("https://gcsvt.ru/svetodiodnyie-svetilniki/SVT-STR-M-27W-35-DUO-s-zashchitoy-ot-380/","Ссылка")</f>
        <v>Ссылка</v>
      </c>
      <c r="AD833" s="167">
        <v>13056</v>
      </c>
    </row>
    <row r="834" spans="1:30" s="161" customFormat="1" ht="39.950000000000003" hidden="1" customHeight="1" outlineLevel="2" x14ac:dyDescent="0.25">
      <c r="A834" s="21"/>
      <c r="B834" s="21" t="s">
        <v>870</v>
      </c>
      <c r="C834" s="159" t="s">
        <v>897</v>
      </c>
      <c r="D834" s="161">
        <v>8280</v>
      </c>
      <c r="E834" s="161">
        <v>54</v>
      </c>
      <c r="F834" s="161">
        <v>153</v>
      </c>
      <c r="G834" s="161" t="s">
        <v>898</v>
      </c>
      <c r="H834" s="161" t="s">
        <v>183</v>
      </c>
      <c r="I834" s="161">
        <v>67</v>
      </c>
      <c r="J834" s="161" t="s">
        <v>105</v>
      </c>
      <c r="K834" s="21" t="s">
        <v>106</v>
      </c>
      <c r="L834" s="161" t="s">
        <v>3380</v>
      </c>
      <c r="M834" s="21" t="s">
        <v>107</v>
      </c>
      <c r="N834" s="161" t="s">
        <v>108</v>
      </c>
      <c r="O834" s="21" t="s">
        <v>68</v>
      </c>
      <c r="P834" s="161" t="s">
        <v>109</v>
      </c>
      <c r="Q834" s="21" t="s">
        <v>70</v>
      </c>
      <c r="R834" s="161">
        <v>70</v>
      </c>
      <c r="S834" s="161" t="s">
        <v>872</v>
      </c>
      <c r="T834" s="161" t="s">
        <v>174</v>
      </c>
      <c r="U834" s="161" t="s">
        <v>142</v>
      </c>
      <c r="V834" s="21" t="s">
        <v>74</v>
      </c>
      <c r="W834" s="21" t="s">
        <v>876</v>
      </c>
      <c r="X834" s="161" t="s">
        <v>877</v>
      </c>
      <c r="Y834" s="161">
        <v>1.0500000000000001E-2</v>
      </c>
      <c r="Z834" s="161">
        <v>2.6</v>
      </c>
      <c r="AA834" s="161" t="s">
        <v>144</v>
      </c>
      <c r="AB834" s="161" t="s">
        <v>114</v>
      </c>
      <c r="AC834" s="266" t="str">
        <f>HYPERLINK("https://gcsvt.ru/svetodiodnyie-svetilniki/SVT-STR-M-27W-65-DUO-s-zashchitoy-ot-380/","Ссылка")</f>
        <v>Ссылка</v>
      </c>
      <c r="AD834" s="167">
        <v>13056</v>
      </c>
    </row>
    <row r="835" spans="1:30" s="161" customFormat="1" ht="39.950000000000003" hidden="1" customHeight="1" outlineLevel="2" x14ac:dyDescent="0.25">
      <c r="A835" s="21"/>
      <c r="B835" s="21" t="s">
        <v>870</v>
      </c>
      <c r="C835" s="159" t="s">
        <v>899</v>
      </c>
      <c r="D835" s="161">
        <v>8280</v>
      </c>
      <c r="E835" s="161">
        <v>54</v>
      </c>
      <c r="F835" s="161">
        <v>153</v>
      </c>
      <c r="G835" s="161" t="s">
        <v>900</v>
      </c>
      <c r="H835" s="161" t="s">
        <v>186</v>
      </c>
      <c r="I835" s="161">
        <v>67</v>
      </c>
      <c r="J835" s="161" t="s">
        <v>105</v>
      </c>
      <c r="K835" s="21" t="s">
        <v>106</v>
      </c>
      <c r="L835" s="161" t="s">
        <v>3380</v>
      </c>
      <c r="M835" s="21" t="s">
        <v>107</v>
      </c>
      <c r="N835" s="161" t="s">
        <v>108</v>
      </c>
      <c r="O835" s="21" t="s">
        <v>68</v>
      </c>
      <c r="P835" s="161" t="s">
        <v>109</v>
      </c>
      <c r="Q835" s="21" t="s">
        <v>70</v>
      </c>
      <c r="R835" s="161">
        <v>70</v>
      </c>
      <c r="S835" s="161" t="s">
        <v>872</v>
      </c>
      <c r="T835" s="161" t="s">
        <v>174</v>
      </c>
      <c r="U835" s="161" t="s">
        <v>142</v>
      </c>
      <c r="V835" s="21" t="s">
        <v>74</v>
      </c>
      <c r="W835" s="21" t="s">
        <v>876</v>
      </c>
      <c r="X835" s="161" t="s">
        <v>877</v>
      </c>
      <c r="Y835" s="161">
        <v>1.0500000000000001E-2</v>
      </c>
      <c r="Z835" s="161">
        <v>2.6</v>
      </c>
      <c r="AA835" s="161" t="s">
        <v>144</v>
      </c>
      <c r="AB835" s="161" t="s">
        <v>114</v>
      </c>
      <c r="AC835" s="266" t="str">
        <f>HYPERLINK("https://gcsvt.ru/svetodiodnyie-svetilniki/svt-str-m-27w-100-duo-s-zashchitoy-ot-380/","Ссылка")</f>
        <v>Ссылка</v>
      </c>
      <c r="AD835" s="167">
        <v>13056</v>
      </c>
    </row>
    <row r="836" spans="1:30" s="161" customFormat="1" ht="39.950000000000003" hidden="1" customHeight="1" outlineLevel="2" x14ac:dyDescent="0.25">
      <c r="A836" s="21"/>
      <c r="B836" s="21" t="s">
        <v>870</v>
      </c>
      <c r="C836" s="159" t="s">
        <v>901</v>
      </c>
      <c r="D836" s="161">
        <v>8280</v>
      </c>
      <c r="E836" s="161">
        <v>54</v>
      </c>
      <c r="F836" s="161">
        <v>153</v>
      </c>
      <c r="G836" s="161" t="s">
        <v>902</v>
      </c>
      <c r="H836" s="161" t="s">
        <v>189</v>
      </c>
      <c r="I836" s="161">
        <v>67</v>
      </c>
      <c r="J836" s="161" t="s">
        <v>105</v>
      </c>
      <c r="K836" s="21" t="s">
        <v>106</v>
      </c>
      <c r="L836" s="161" t="s">
        <v>3380</v>
      </c>
      <c r="M836" s="21" t="s">
        <v>107</v>
      </c>
      <c r="N836" s="161" t="s">
        <v>108</v>
      </c>
      <c r="O836" s="21" t="s">
        <v>68</v>
      </c>
      <c r="P836" s="161" t="s">
        <v>109</v>
      </c>
      <c r="Q836" s="21" t="s">
        <v>70</v>
      </c>
      <c r="R836" s="161">
        <v>70</v>
      </c>
      <c r="S836" s="161" t="s">
        <v>872</v>
      </c>
      <c r="T836" s="161" t="s">
        <v>174</v>
      </c>
      <c r="U836" s="161" t="s">
        <v>142</v>
      </c>
      <c r="V836" s="21" t="s">
        <v>74</v>
      </c>
      <c r="W836" s="21" t="s">
        <v>876</v>
      </c>
      <c r="X836" s="161" t="s">
        <v>877</v>
      </c>
      <c r="Y836" s="161">
        <v>1.0500000000000001E-2</v>
      </c>
      <c r="Z836" s="161">
        <v>2.6</v>
      </c>
      <c r="AA836" s="161" t="s">
        <v>144</v>
      </c>
      <c r="AB836" s="161" t="s">
        <v>114</v>
      </c>
      <c r="AC836" s="266" t="str">
        <f>HYPERLINK("https://gcsvt.ru/svetodiodnyie-svetilniki/svt-str-m-27w-30x120-duo-s-zashchitoy-ot-380/","Ссылка")</f>
        <v>Ссылка</v>
      </c>
      <c r="AD836" s="167">
        <v>13056</v>
      </c>
    </row>
    <row r="837" spans="1:30" s="161" customFormat="1" ht="39.950000000000003" hidden="1" customHeight="1" outlineLevel="2" x14ac:dyDescent="0.25">
      <c r="A837" s="21"/>
      <c r="B837" s="21" t="s">
        <v>870</v>
      </c>
      <c r="C837" s="159" t="s">
        <v>903</v>
      </c>
      <c r="D837" s="161">
        <v>8280</v>
      </c>
      <c r="E837" s="161">
        <v>54</v>
      </c>
      <c r="F837" s="161">
        <v>153</v>
      </c>
      <c r="G837" s="161" t="s">
        <v>904</v>
      </c>
      <c r="H837" s="161" t="s">
        <v>192</v>
      </c>
      <c r="I837" s="161">
        <v>67</v>
      </c>
      <c r="J837" s="161" t="s">
        <v>105</v>
      </c>
      <c r="K837" s="21" t="s">
        <v>106</v>
      </c>
      <c r="L837" s="161" t="s">
        <v>3380</v>
      </c>
      <c r="M837" s="21" t="s">
        <v>107</v>
      </c>
      <c r="N837" s="161" t="s">
        <v>108</v>
      </c>
      <c r="O837" s="21" t="s">
        <v>68</v>
      </c>
      <c r="P837" s="161" t="s">
        <v>109</v>
      </c>
      <c r="Q837" s="21" t="s">
        <v>70</v>
      </c>
      <c r="R837" s="161">
        <v>70</v>
      </c>
      <c r="S837" s="161" t="s">
        <v>872</v>
      </c>
      <c r="T837" s="161" t="s">
        <v>174</v>
      </c>
      <c r="U837" s="161" t="s">
        <v>142</v>
      </c>
      <c r="V837" s="21" t="s">
        <v>74</v>
      </c>
      <c r="W837" s="21" t="s">
        <v>876</v>
      </c>
      <c r="X837" s="161" t="s">
        <v>877</v>
      </c>
      <c r="Y837" s="161">
        <v>1.0500000000000001E-2</v>
      </c>
      <c r="Z837" s="161">
        <v>2.6</v>
      </c>
      <c r="AA837" s="161" t="s">
        <v>144</v>
      </c>
      <c r="AB837" s="161" t="s">
        <v>114</v>
      </c>
      <c r="AC837" s="266" t="str">
        <f>HYPERLINK("https://gcsvt.ru/svetodiodnyie-svetilniki/svt-str-m-27w-vsm-duo-s-zashchitoy-ot-380/","Ссылка")</f>
        <v>Ссылка</v>
      </c>
      <c r="AD837" s="167">
        <v>13056</v>
      </c>
    </row>
    <row r="838" spans="1:30" s="161" customFormat="1" ht="39.950000000000003" hidden="1" customHeight="1" outlineLevel="2" x14ac:dyDescent="0.25">
      <c r="A838" s="21"/>
      <c r="B838" s="21" t="s">
        <v>870</v>
      </c>
      <c r="C838" s="159" t="s">
        <v>2767</v>
      </c>
      <c r="D838" s="161">
        <v>16840</v>
      </c>
      <c r="E838" s="161">
        <v>106</v>
      </c>
      <c r="F838" s="161">
        <v>158</v>
      </c>
      <c r="G838" s="161" t="s">
        <v>905</v>
      </c>
      <c r="H838" s="161" t="s">
        <v>63</v>
      </c>
      <c r="I838" s="161">
        <v>67</v>
      </c>
      <c r="J838" s="161" t="s">
        <v>105</v>
      </c>
      <c r="K838" s="21" t="s">
        <v>106</v>
      </c>
      <c r="L838" s="161" t="s">
        <v>3380</v>
      </c>
      <c r="M838" s="21" t="s">
        <v>568</v>
      </c>
      <c r="N838" s="161" t="s">
        <v>108</v>
      </c>
      <c r="O838" s="21" t="s">
        <v>68</v>
      </c>
      <c r="P838" s="161" t="s">
        <v>109</v>
      </c>
      <c r="Q838" s="21" t="s">
        <v>70</v>
      </c>
      <c r="R838" s="161">
        <v>70</v>
      </c>
      <c r="S838" s="161" t="s">
        <v>906</v>
      </c>
      <c r="T838" s="161" t="s">
        <v>174</v>
      </c>
      <c r="U838" s="161" t="s">
        <v>142</v>
      </c>
      <c r="V838" s="21" t="s">
        <v>74</v>
      </c>
      <c r="W838" s="21" t="s">
        <v>160</v>
      </c>
      <c r="X838" s="161" t="s">
        <v>907</v>
      </c>
      <c r="Y838" s="161">
        <v>1.652E-2</v>
      </c>
      <c r="Z838" s="161">
        <v>3.6</v>
      </c>
      <c r="AA838" s="161" t="s">
        <v>144</v>
      </c>
      <c r="AB838" s="161" t="s">
        <v>114</v>
      </c>
      <c r="AC838" s="266" t="str">
        <f>HYPERLINK("https://gcsvt.ru/svetodiodnyie-svetilniki/svt-str-m-53w-45x140-duo-s/","Ссылка")</f>
        <v>Ссылка</v>
      </c>
      <c r="AD838" s="167">
        <v>17340</v>
      </c>
    </row>
    <row r="839" spans="1:30" s="161" customFormat="1" ht="39.950000000000003" hidden="1" customHeight="1" outlineLevel="2" x14ac:dyDescent="0.25">
      <c r="A839" s="21"/>
      <c r="B839" s="21" t="s">
        <v>870</v>
      </c>
      <c r="C839" s="159" t="s">
        <v>908</v>
      </c>
      <c r="D839" s="161">
        <v>16840</v>
      </c>
      <c r="E839" s="161">
        <v>106</v>
      </c>
      <c r="F839" s="161">
        <v>158</v>
      </c>
      <c r="G839" s="161" t="s">
        <v>909</v>
      </c>
      <c r="H839" s="161" t="s">
        <v>63</v>
      </c>
      <c r="I839" s="161">
        <v>67</v>
      </c>
      <c r="J839" s="161" t="s">
        <v>105</v>
      </c>
      <c r="K839" s="21" t="s">
        <v>106</v>
      </c>
      <c r="L839" s="161" t="s">
        <v>3380</v>
      </c>
      <c r="M839" s="21" t="s">
        <v>568</v>
      </c>
      <c r="N839" s="161" t="s">
        <v>108</v>
      </c>
      <c r="O839" s="21" t="s">
        <v>68</v>
      </c>
      <c r="P839" s="161" t="s">
        <v>109</v>
      </c>
      <c r="Q839" s="21" t="s">
        <v>70</v>
      </c>
      <c r="R839" s="161">
        <v>70</v>
      </c>
      <c r="S839" s="161" t="s">
        <v>906</v>
      </c>
      <c r="T839" s="161" t="s">
        <v>174</v>
      </c>
      <c r="U839" s="161" t="s">
        <v>142</v>
      </c>
      <c r="V839" s="21" t="s">
        <v>74</v>
      </c>
      <c r="W839" s="21" t="s">
        <v>910</v>
      </c>
      <c r="X839" s="161" t="s">
        <v>911</v>
      </c>
      <c r="Y839" s="161">
        <v>1.4749999999999999E-2</v>
      </c>
      <c r="Z839" s="161">
        <v>3.6</v>
      </c>
      <c r="AA839" s="161" t="s">
        <v>144</v>
      </c>
      <c r="AB839" s="161" t="s">
        <v>114</v>
      </c>
      <c r="AC839" s="266" t="str">
        <f>HYPERLINK("https://gcsvt.ru/svetodiodnyie-svetilniki/svt-str-m-53w-45x140-duo/","Ссылка")</f>
        <v>Ссылка</v>
      </c>
      <c r="AD839" s="167">
        <v>17340</v>
      </c>
    </row>
    <row r="840" spans="1:30" s="161" customFormat="1" ht="39.950000000000003" hidden="1" customHeight="1" outlineLevel="2" x14ac:dyDescent="0.25">
      <c r="A840" s="21"/>
      <c r="B840" s="21" t="s">
        <v>870</v>
      </c>
      <c r="C840" s="159" t="s">
        <v>912</v>
      </c>
      <c r="D840" s="161">
        <v>16840</v>
      </c>
      <c r="E840" s="161">
        <v>106</v>
      </c>
      <c r="F840" s="161">
        <v>158</v>
      </c>
      <c r="G840" s="161" t="s">
        <v>913</v>
      </c>
      <c r="H840" s="161" t="s">
        <v>177</v>
      </c>
      <c r="I840" s="161">
        <v>67</v>
      </c>
      <c r="J840" s="161" t="s">
        <v>105</v>
      </c>
      <c r="K840" s="21" t="s">
        <v>106</v>
      </c>
      <c r="L840" s="161" t="s">
        <v>3380</v>
      </c>
      <c r="M840" s="21" t="s">
        <v>568</v>
      </c>
      <c r="N840" s="161" t="s">
        <v>108</v>
      </c>
      <c r="O840" s="21" t="s">
        <v>68</v>
      </c>
      <c r="P840" s="161" t="s">
        <v>109</v>
      </c>
      <c r="Q840" s="21" t="s">
        <v>70</v>
      </c>
      <c r="R840" s="161">
        <v>70</v>
      </c>
      <c r="S840" s="161" t="s">
        <v>906</v>
      </c>
      <c r="T840" s="161" t="s">
        <v>174</v>
      </c>
      <c r="U840" s="161" t="s">
        <v>142</v>
      </c>
      <c r="V840" s="21" t="s">
        <v>74</v>
      </c>
      <c r="W840" s="21" t="s">
        <v>910</v>
      </c>
      <c r="X840" s="161" t="s">
        <v>911</v>
      </c>
      <c r="Y840" s="161">
        <v>1.4749999999999999E-2</v>
      </c>
      <c r="Z840" s="161">
        <v>3.6</v>
      </c>
      <c r="AA840" s="161" t="s">
        <v>144</v>
      </c>
      <c r="AB840" s="161" t="s">
        <v>114</v>
      </c>
      <c r="AC840" s="266" t="str">
        <f>HYPERLINK("https://gcsvt.ru/svetodiodnyie-svetilniki/SVT-STR-M-53W-20-DUO/","Ссылка")</f>
        <v>Ссылка</v>
      </c>
      <c r="AD840" s="167">
        <v>17340</v>
      </c>
    </row>
    <row r="841" spans="1:30" s="161" customFormat="1" ht="39.950000000000003" hidden="1" customHeight="1" outlineLevel="2" x14ac:dyDescent="0.25">
      <c r="A841" s="21"/>
      <c r="B841" s="21" t="s">
        <v>870</v>
      </c>
      <c r="C841" s="159" t="s">
        <v>914</v>
      </c>
      <c r="D841" s="161">
        <v>16840</v>
      </c>
      <c r="E841" s="161">
        <v>106</v>
      </c>
      <c r="F841" s="161">
        <v>158</v>
      </c>
      <c r="G841" s="161" t="s">
        <v>915</v>
      </c>
      <c r="H841" s="161" t="s">
        <v>180</v>
      </c>
      <c r="I841" s="161">
        <v>67</v>
      </c>
      <c r="J841" s="161" t="s">
        <v>105</v>
      </c>
      <c r="K841" s="21" t="s">
        <v>106</v>
      </c>
      <c r="L841" s="161" t="s">
        <v>3380</v>
      </c>
      <c r="M841" s="21" t="s">
        <v>568</v>
      </c>
      <c r="N841" s="161" t="s">
        <v>108</v>
      </c>
      <c r="O841" s="21" t="s">
        <v>68</v>
      </c>
      <c r="P841" s="161" t="s">
        <v>109</v>
      </c>
      <c r="Q841" s="21" t="s">
        <v>70</v>
      </c>
      <c r="R841" s="161">
        <v>70</v>
      </c>
      <c r="S841" s="161" t="s">
        <v>906</v>
      </c>
      <c r="T841" s="161" t="s">
        <v>174</v>
      </c>
      <c r="U841" s="161" t="s">
        <v>142</v>
      </c>
      <c r="V841" s="21" t="s">
        <v>74</v>
      </c>
      <c r="W841" s="21" t="s">
        <v>910</v>
      </c>
      <c r="X841" s="161" t="s">
        <v>911</v>
      </c>
      <c r="Y841" s="161">
        <v>1.4749999999999999E-2</v>
      </c>
      <c r="Z841" s="161">
        <v>3.6</v>
      </c>
      <c r="AA841" s="161" t="s">
        <v>144</v>
      </c>
      <c r="AB841" s="161" t="s">
        <v>114</v>
      </c>
      <c r="AC841" s="266" t="str">
        <f>HYPERLINK("https://gcsvt.ru/svetodiodnyie-svetilniki/SVT-STR-M-53W-35-DUO/","Ссылка")</f>
        <v>Ссылка</v>
      </c>
      <c r="AD841" s="167">
        <v>17340</v>
      </c>
    </row>
    <row r="842" spans="1:30" s="161" customFormat="1" ht="39.950000000000003" hidden="1" customHeight="1" outlineLevel="2" x14ac:dyDescent="0.25">
      <c r="A842" s="21"/>
      <c r="B842" s="21" t="s">
        <v>870</v>
      </c>
      <c r="C842" s="159" t="s">
        <v>916</v>
      </c>
      <c r="D842" s="161">
        <v>16840</v>
      </c>
      <c r="E842" s="161">
        <v>106</v>
      </c>
      <c r="F842" s="161">
        <v>158</v>
      </c>
      <c r="G842" s="161" t="s">
        <v>917</v>
      </c>
      <c r="H842" s="161" t="s">
        <v>183</v>
      </c>
      <c r="I842" s="161">
        <v>67</v>
      </c>
      <c r="J842" s="161" t="s">
        <v>105</v>
      </c>
      <c r="K842" s="21" t="s">
        <v>106</v>
      </c>
      <c r="L842" s="161" t="s">
        <v>3380</v>
      </c>
      <c r="M842" s="21" t="s">
        <v>568</v>
      </c>
      <c r="N842" s="161" t="s">
        <v>108</v>
      </c>
      <c r="O842" s="21" t="s">
        <v>68</v>
      </c>
      <c r="P842" s="161" t="s">
        <v>109</v>
      </c>
      <c r="Q842" s="21" t="s">
        <v>70</v>
      </c>
      <c r="R842" s="161">
        <v>70</v>
      </c>
      <c r="S842" s="161" t="s">
        <v>906</v>
      </c>
      <c r="T842" s="161" t="s">
        <v>174</v>
      </c>
      <c r="U842" s="161" t="s">
        <v>142</v>
      </c>
      <c r="V842" s="21" t="s">
        <v>74</v>
      </c>
      <c r="W842" s="21" t="s">
        <v>910</v>
      </c>
      <c r="X842" s="161" t="s">
        <v>911</v>
      </c>
      <c r="Y842" s="161">
        <v>1.4749999999999999E-2</v>
      </c>
      <c r="Z842" s="161">
        <v>3.6</v>
      </c>
      <c r="AA842" s="161" t="s">
        <v>144</v>
      </c>
      <c r="AB842" s="161" t="s">
        <v>114</v>
      </c>
      <c r="AC842" s="266" t="str">
        <f>HYPERLINK("https://gcsvt.ru/svetodiodnyie-svetilniki/SVT-STR-M-53W-65-DUO/","Ссылка")</f>
        <v>Ссылка</v>
      </c>
      <c r="AD842" s="167">
        <v>17340</v>
      </c>
    </row>
    <row r="843" spans="1:30" s="161" customFormat="1" ht="39.950000000000003" hidden="1" customHeight="1" outlineLevel="2" x14ac:dyDescent="0.25">
      <c r="A843" s="21"/>
      <c r="B843" s="21" t="s">
        <v>870</v>
      </c>
      <c r="C843" s="159" t="s">
        <v>918</v>
      </c>
      <c r="D843" s="161">
        <v>16840</v>
      </c>
      <c r="E843" s="161">
        <v>106</v>
      </c>
      <c r="F843" s="161">
        <v>158</v>
      </c>
      <c r="G843" s="161" t="s">
        <v>919</v>
      </c>
      <c r="H843" s="161" t="s">
        <v>186</v>
      </c>
      <c r="I843" s="161">
        <v>67</v>
      </c>
      <c r="J843" s="161" t="s">
        <v>105</v>
      </c>
      <c r="K843" s="21" t="s">
        <v>106</v>
      </c>
      <c r="L843" s="161" t="s">
        <v>3380</v>
      </c>
      <c r="M843" s="21" t="s">
        <v>568</v>
      </c>
      <c r="N843" s="161" t="s">
        <v>108</v>
      </c>
      <c r="O843" s="21" t="s">
        <v>68</v>
      </c>
      <c r="P843" s="161" t="s">
        <v>109</v>
      </c>
      <c r="Q843" s="21" t="s">
        <v>70</v>
      </c>
      <c r="R843" s="161">
        <v>70</v>
      </c>
      <c r="S843" s="161" t="s">
        <v>906</v>
      </c>
      <c r="T843" s="161" t="s">
        <v>174</v>
      </c>
      <c r="U843" s="161" t="s">
        <v>142</v>
      </c>
      <c r="V843" s="21" t="s">
        <v>74</v>
      </c>
      <c r="W843" s="21" t="s">
        <v>910</v>
      </c>
      <c r="X843" s="161" t="s">
        <v>911</v>
      </c>
      <c r="Y843" s="161">
        <v>1.4749999999999999E-2</v>
      </c>
      <c r="Z843" s="161">
        <v>3.6</v>
      </c>
      <c r="AA843" s="161" t="s">
        <v>144</v>
      </c>
      <c r="AB843" s="161" t="s">
        <v>114</v>
      </c>
      <c r="AC843" s="266" t="str">
        <f>HYPERLINK("https://gcsvt.ru/svetodiodnyie-svetilniki/svt-str-m-53w-100-duo/","Ссылка")</f>
        <v>Ссылка</v>
      </c>
      <c r="AD843" s="167">
        <v>17340</v>
      </c>
    </row>
    <row r="844" spans="1:30" s="161" customFormat="1" ht="39.950000000000003" hidden="1" customHeight="1" outlineLevel="2" x14ac:dyDescent="0.25">
      <c r="A844" s="21"/>
      <c r="B844" s="21" t="s">
        <v>870</v>
      </c>
      <c r="C844" s="159" t="s">
        <v>920</v>
      </c>
      <c r="D844" s="161">
        <v>16840</v>
      </c>
      <c r="E844" s="161">
        <v>106</v>
      </c>
      <c r="F844" s="161">
        <v>158</v>
      </c>
      <c r="G844" s="161" t="s">
        <v>921</v>
      </c>
      <c r="H844" s="161" t="s">
        <v>189</v>
      </c>
      <c r="I844" s="161">
        <v>67</v>
      </c>
      <c r="J844" s="161" t="s">
        <v>105</v>
      </c>
      <c r="K844" s="21" t="s">
        <v>106</v>
      </c>
      <c r="L844" s="161" t="s">
        <v>3380</v>
      </c>
      <c r="M844" s="21" t="s">
        <v>568</v>
      </c>
      <c r="N844" s="161" t="s">
        <v>108</v>
      </c>
      <c r="O844" s="21" t="s">
        <v>68</v>
      </c>
      <c r="P844" s="161" t="s">
        <v>109</v>
      </c>
      <c r="Q844" s="21" t="s">
        <v>70</v>
      </c>
      <c r="R844" s="161">
        <v>70</v>
      </c>
      <c r="S844" s="161" t="s">
        <v>906</v>
      </c>
      <c r="T844" s="161" t="s">
        <v>174</v>
      </c>
      <c r="U844" s="161" t="s">
        <v>142</v>
      </c>
      <c r="V844" s="21" t="s">
        <v>74</v>
      </c>
      <c r="W844" s="21" t="s">
        <v>910</v>
      </c>
      <c r="X844" s="161" t="s">
        <v>911</v>
      </c>
      <c r="Y844" s="161">
        <v>1.4749999999999999E-2</v>
      </c>
      <c r="Z844" s="161">
        <v>3.6</v>
      </c>
      <c r="AA844" s="161" t="s">
        <v>144</v>
      </c>
      <c r="AB844" s="161" t="s">
        <v>114</v>
      </c>
      <c r="AC844" s="266" t="str">
        <f>HYPERLINK("https://gcsvt.ru/svetodiodnyie-svetilniki/svt-str-m-53w-30x120-duo/","Ссылка")</f>
        <v>Ссылка</v>
      </c>
      <c r="AD844" s="167">
        <v>17340</v>
      </c>
    </row>
    <row r="845" spans="1:30" s="161" customFormat="1" ht="39.950000000000003" hidden="1" customHeight="1" outlineLevel="2" x14ac:dyDescent="0.25">
      <c r="A845" s="21"/>
      <c r="B845" s="21" t="s">
        <v>870</v>
      </c>
      <c r="C845" s="159" t="s">
        <v>922</v>
      </c>
      <c r="D845" s="161">
        <v>16840</v>
      </c>
      <c r="E845" s="161">
        <v>106</v>
      </c>
      <c r="F845" s="161">
        <v>158</v>
      </c>
      <c r="G845" s="161" t="s">
        <v>923</v>
      </c>
      <c r="H845" s="161" t="s">
        <v>192</v>
      </c>
      <c r="I845" s="161">
        <v>67</v>
      </c>
      <c r="J845" s="161" t="s">
        <v>105</v>
      </c>
      <c r="K845" s="21" t="s">
        <v>106</v>
      </c>
      <c r="L845" s="161" t="s">
        <v>3380</v>
      </c>
      <c r="M845" s="21" t="s">
        <v>568</v>
      </c>
      <c r="N845" s="161" t="s">
        <v>108</v>
      </c>
      <c r="O845" s="21" t="s">
        <v>68</v>
      </c>
      <c r="P845" s="161" t="s">
        <v>109</v>
      </c>
      <c r="Q845" s="21" t="s">
        <v>70</v>
      </c>
      <c r="R845" s="161">
        <v>70</v>
      </c>
      <c r="S845" s="161" t="s">
        <v>906</v>
      </c>
      <c r="T845" s="161" t="s">
        <v>174</v>
      </c>
      <c r="U845" s="161" t="s">
        <v>142</v>
      </c>
      <c r="V845" s="21" t="s">
        <v>74</v>
      </c>
      <c r="W845" s="21" t="s">
        <v>910</v>
      </c>
      <c r="X845" s="161" t="s">
        <v>911</v>
      </c>
      <c r="Y845" s="161">
        <v>1.4749999999999999E-2</v>
      </c>
      <c r="Z845" s="161">
        <v>3.6</v>
      </c>
      <c r="AA845" s="161" t="s">
        <v>144</v>
      </c>
      <c r="AB845" s="161" t="s">
        <v>114</v>
      </c>
      <c r="AC845" s="266" t="str">
        <f>HYPERLINK("https://gcsvt.ru/svetodiodnyie-svetilniki/svt-str-m-53w-vsm-duo/","Ссылка")</f>
        <v>Ссылка</v>
      </c>
      <c r="AD845" s="167">
        <v>17340</v>
      </c>
    </row>
    <row r="846" spans="1:30" s="161" customFormat="1" ht="39.950000000000003" hidden="1" customHeight="1" outlineLevel="2" x14ac:dyDescent="0.25">
      <c r="A846" s="21"/>
      <c r="B846" s="21" t="s">
        <v>870</v>
      </c>
      <c r="C846" s="159" t="s">
        <v>2768</v>
      </c>
      <c r="D846" s="161">
        <v>16840</v>
      </c>
      <c r="E846" s="161">
        <v>106</v>
      </c>
      <c r="F846" s="161">
        <v>158</v>
      </c>
      <c r="G846" s="161" t="s">
        <v>924</v>
      </c>
      <c r="H846" s="161" t="s">
        <v>63</v>
      </c>
      <c r="I846" s="161">
        <v>67</v>
      </c>
      <c r="J846" s="161" t="s">
        <v>105</v>
      </c>
      <c r="K846" s="21" t="s">
        <v>106</v>
      </c>
      <c r="L846" s="161" t="s">
        <v>3380</v>
      </c>
      <c r="M846" s="21" t="s">
        <v>107</v>
      </c>
      <c r="N846" s="161" t="s">
        <v>108</v>
      </c>
      <c r="O846" s="21" t="s">
        <v>68</v>
      </c>
      <c r="P846" s="161" t="s">
        <v>109</v>
      </c>
      <c r="Q846" s="21" t="s">
        <v>70</v>
      </c>
      <c r="R846" s="161">
        <v>70</v>
      </c>
      <c r="S846" s="161" t="s">
        <v>906</v>
      </c>
      <c r="T846" s="161" t="s">
        <v>174</v>
      </c>
      <c r="U846" s="161" t="s">
        <v>142</v>
      </c>
      <c r="V846" s="21" t="s">
        <v>74</v>
      </c>
      <c r="W846" s="21" t="s">
        <v>160</v>
      </c>
      <c r="X846" s="161" t="s">
        <v>907</v>
      </c>
      <c r="Y846" s="161">
        <v>1.652E-2</v>
      </c>
      <c r="Z846" s="161">
        <v>3.6</v>
      </c>
      <c r="AA846" s="161" t="s">
        <v>144</v>
      </c>
      <c r="AB846" s="161" t="s">
        <v>114</v>
      </c>
      <c r="AC846" s="266" t="str">
        <f>HYPERLINK("https://gcsvt.ru/svetodiodnyie-svetilniki/svt-str-m-53w-45x140-duo-s-s-zashchitoy-ot-380/","Ссылка")</f>
        <v>Ссылка</v>
      </c>
      <c r="AD846" s="167">
        <v>18156</v>
      </c>
    </row>
    <row r="847" spans="1:30" s="161" customFormat="1" ht="39.950000000000003" hidden="1" customHeight="1" outlineLevel="2" x14ac:dyDescent="0.25">
      <c r="A847" s="21"/>
      <c r="B847" s="21" t="s">
        <v>870</v>
      </c>
      <c r="C847" s="159" t="s">
        <v>925</v>
      </c>
      <c r="D847" s="161">
        <v>16840</v>
      </c>
      <c r="E847" s="161">
        <v>106</v>
      </c>
      <c r="F847" s="161">
        <v>158</v>
      </c>
      <c r="G847" s="161" t="s">
        <v>926</v>
      </c>
      <c r="H847" s="161" t="s">
        <v>63</v>
      </c>
      <c r="I847" s="161">
        <v>67</v>
      </c>
      <c r="J847" s="161" t="s">
        <v>105</v>
      </c>
      <c r="K847" s="21" t="s">
        <v>106</v>
      </c>
      <c r="L847" s="161" t="s">
        <v>3380</v>
      </c>
      <c r="M847" s="21" t="s">
        <v>107</v>
      </c>
      <c r="N847" s="161" t="s">
        <v>108</v>
      </c>
      <c r="O847" s="21" t="s">
        <v>68</v>
      </c>
      <c r="P847" s="161" t="s">
        <v>109</v>
      </c>
      <c r="Q847" s="21" t="s">
        <v>70</v>
      </c>
      <c r="R847" s="161">
        <v>70</v>
      </c>
      <c r="S847" s="161" t="s">
        <v>906</v>
      </c>
      <c r="T847" s="161" t="s">
        <v>174</v>
      </c>
      <c r="U847" s="161" t="s">
        <v>142</v>
      </c>
      <c r="V847" s="21" t="s">
        <v>74</v>
      </c>
      <c r="W847" s="21" t="s">
        <v>910</v>
      </c>
      <c r="X847" s="161" t="s">
        <v>911</v>
      </c>
      <c r="Y847" s="161">
        <v>1.4749999999999999E-2</v>
      </c>
      <c r="Z847" s="161">
        <v>3.6</v>
      </c>
      <c r="AA847" s="161" t="s">
        <v>144</v>
      </c>
      <c r="AB847" s="161" t="s">
        <v>114</v>
      </c>
      <c r="AC847" s="266" t="str">
        <f>HYPERLINK("https://gcsvt.ru/svetodiodnyie-svetilniki/svt-str-m-53w-45x140-duo-s-zashchitoy-ot-380/","Ссылка")</f>
        <v>Ссылка</v>
      </c>
      <c r="AD847" s="167">
        <v>18156</v>
      </c>
    </row>
    <row r="848" spans="1:30" s="161" customFormat="1" ht="39.950000000000003" hidden="1" customHeight="1" outlineLevel="2" x14ac:dyDescent="0.25">
      <c r="A848" s="21"/>
      <c r="B848" s="21" t="s">
        <v>870</v>
      </c>
      <c r="C848" s="159" t="s">
        <v>927</v>
      </c>
      <c r="D848" s="161">
        <v>16840</v>
      </c>
      <c r="E848" s="161">
        <v>106</v>
      </c>
      <c r="F848" s="161">
        <v>158</v>
      </c>
      <c r="G848" s="161" t="s">
        <v>928</v>
      </c>
      <c r="H848" s="161" t="s">
        <v>177</v>
      </c>
      <c r="I848" s="161">
        <v>67</v>
      </c>
      <c r="J848" s="161" t="s">
        <v>105</v>
      </c>
      <c r="K848" s="21" t="s">
        <v>106</v>
      </c>
      <c r="L848" s="161" t="s">
        <v>3380</v>
      </c>
      <c r="M848" s="21" t="s">
        <v>107</v>
      </c>
      <c r="N848" s="161" t="s">
        <v>108</v>
      </c>
      <c r="O848" s="21" t="s">
        <v>68</v>
      </c>
      <c r="P848" s="161" t="s">
        <v>109</v>
      </c>
      <c r="Q848" s="21" t="s">
        <v>70</v>
      </c>
      <c r="R848" s="161">
        <v>70</v>
      </c>
      <c r="S848" s="161" t="s">
        <v>906</v>
      </c>
      <c r="T848" s="161" t="s">
        <v>174</v>
      </c>
      <c r="U848" s="161" t="s">
        <v>142</v>
      </c>
      <c r="V848" s="21" t="s">
        <v>74</v>
      </c>
      <c r="W848" s="21" t="s">
        <v>910</v>
      </c>
      <c r="X848" s="161" t="s">
        <v>911</v>
      </c>
      <c r="Y848" s="161">
        <v>1.4749999999999999E-2</v>
      </c>
      <c r="Z848" s="161">
        <v>3.6</v>
      </c>
      <c r="AA848" s="161" t="s">
        <v>144</v>
      </c>
      <c r="AB848" s="161" t="s">
        <v>114</v>
      </c>
      <c r="AC848" s="266" t="str">
        <f>HYPERLINK("https://gcsvt.ru/svetodiodnyie-svetilniki/SVT-STR-M-53W-20-DUO-s-zashchitoy-ot-380/","Ссылка")</f>
        <v>Ссылка</v>
      </c>
      <c r="AD848" s="167">
        <v>18156</v>
      </c>
    </row>
    <row r="849" spans="1:30" s="161" customFormat="1" ht="39.950000000000003" hidden="1" customHeight="1" outlineLevel="2" x14ac:dyDescent="0.25">
      <c r="A849" s="21"/>
      <c r="B849" s="21" t="s">
        <v>870</v>
      </c>
      <c r="C849" s="159" t="s">
        <v>929</v>
      </c>
      <c r="D849" s="161">
        <v>16840</v>
      </c>
      <c r="E849" s="161">
        <v>106</v>
      </c>
      <c r="F849" s="161">
        <v>158</v>
      </c>
      <c r="G849" s="161" t="s">
        <v>930</v>
      </c>
      <c r="H849" s="161" t="s">
        <v>180</v>
      </c>
      <c r="I849" s="161">
        <v>67</v>
      </c>
      <c r="J849" s="161" t="s">
        <v>105</v>
      </c>
      <c r="K849" s="21" t="s">
        <v>106</v>
      </c>
      <c r="L849" s="161" t="s">
        <v>3380</v>
      </c>
      <c r="M849" s="21" t="s">
        <v>107</v>
      </c>
      <c r="N849" s="161" t="s">
        <v>108</v>
      </c>
      <c r="O849" s="21" t="s">
        <v>68</v>
      </c>
      <c r="P849" s="161" t="s">
        <v>109</v>
      </c>
      <c r="Q849" s="21" t="s">
        <v>70</v>
      </c>
      <c r="R849" s="161">
        <v>70</v>
      </c>
      <c r="S849" s="161" t="s">
        <v>906</v>
      </c>
      <c r="T849" s="161" t="s">
        <v>174</v>
      </c>
      <c r="U849" s="161" t="s">
        <v>142</v>
      </c>
      <c r="V849" s="21" t="s">
        <v>74</v>
      </c>
      <c r="W849" s="21" t="s">
        <v>910</v>
      </c>
      <c r="X849" s="161" t="s">
        <v>911</v>
      </c>
      <c r="Y849" s="161">
        <v>1.4749999999999999E-2</v>
      </c>
      <c r="Z849" s="161">
        <v>3.6</v>
      </c>
      <c r="AA849" s="161" t="s">
        <v>144</v>
      </c>
      <c r="AB849" s="161" t="s">
        <v>114</v>
      </c>
      <c r="AC849" s="266" t="str">
        <f>HYPERLINK("https://gcsvt.ru/svetodiodnyie-svetilniki/SVT-STR-M-53W-35-DUO-s-zashchitoy-ot-380/","Ссылка")</f>
        <v>Ссылка</v>
      </c>
      <c r="AD849" s="167">
        <v>18156</v>
      </c>
    </row>
    <row r="850" spans="1:30" s="161" customFormat="1" ht="39.950000000000003" hidden="1" customHeight="1" outlineLevel="2" x14ac:dyDescent="0.25">
      <c r="A850" s="21"/>
      <c r="B850" s="21" t="s">
        <v>870</v>
      </c>
      <c r="C850" s="159" t="s">
        <v>931</v>
      </c>
      <c r="D850" s="161">
        <v>16840</v>
      </c>
      <c r="E850" s="161">
        <v>106</v>
      </c>
      <c r="F850" s="161">
        <v>158</v>
      </c>
      <c r="G850" s="161" t="s">
        <v>932</v>
      </c>
      <c r="H850" s="161" t="s">
        <v>183</v>
      </c>
      <c r="I850" s="161">
        <v>67</v>
      </c>
      <c r="J850" s="161" t="s">
        <v>105</v>
      </c>
      <c r="K850" s="21" t="s">
        <v>106</v>
      </c>
      <c r="L850" s="161" t="s">
        <v>3380</v>
      </c>
      <c r="M850" s="21" t="s">
        <v>107</v>
      </c>
      <c r="N850" s="161" t="s">
        <v>108</v>
      </c>
      <c r="O850" s="21" t="s">
        <v>68</v>
      </c>
      <c r="P850" s="161" t="s">
        <v>109</v>
      </c>
      <c r="Q850" s="21" t="s">
        <v>70</v>
      </c>
      <c r="R850" s="161">
        <v>70</v>
      </c>
      <c r="S850" s="161" t="s">
        <v>906</v>
      </c>
      <c r="T850" s="161" t="s">
        <v>174</v>
      </c>
      <c r="U850" s="161" t="s">
        <v>142</v>
      </c>
      <c r="V850" s="21" t="s">
        <v>74</v>
      </c>
      <c r="W850" s="21" t="s">
        <v>910</v>
      </c>
      <c r="X850" s="161" t="s">
        <v>911</v>
      </c>
      <c r="Y850" s="161">
        <v>1.4749999999999999E-2</v>
      </c>
      <c r="Z850" s="161">
        <v>3.6</v>
      </c>
      <c r="AA850" s="161" t="s">
        <v>144</v>
      </c>
      <c r="AB850" s="161" t="s">
        <v>114</v>
      </c>
      <c r="AC850" s="266" t="str">
        <f>HYPERLINK("https://gcsvt.ru/svetodiodnyie-svetilniki/SVT-STR-M-53W-65-DUO-s-zashchitoy-ot-380/","Ссылка")</f>
        <v>Ссылка</v>
      </c>
      <c r="AD850" s="167">
        <v>18156</v>
      </c>
    </row>
    <row r="851" spans="1:30" s="161" customFormat="1" ht="39.950000000000003" hidden="1" customHeight="1" outlineLevel="2" x14ac:dyDescent="0.25">
      <c r="A851" s="21"/>
      <c r="B851" s="21" t="s">
        <v>870</v>
      </c>
      <c r="C851" s="159" t="s">
        <v>933</v>
      </c>
      <c r="D851" s="161">
        <v>16840</v>
      </c>
      <c r="E851" s="161">
        <v>106</v>
      </c>
      <c r="F851" s="161">
        <v>158</v>
      </c>
      <c r="G851" s="161" t="s">
        <v>934</v>
      </c>
      <c r="H851" s="161" t="s">
        <v>186</v>
      </c>
      <c r="I851" s="161">
        <v>67</v>
      </c>
      <c r="J851" s="161" t="s">
        <v>105</v>
      </c>
      <c r="K851" s="21" t="s">
        <v>106</v>
      </c>
      <c r="L851" s="161" t="s">
        <v>3380</v>
      </c>
      <c r="M851" s="21" t="s">
        <v>107</v>
      </c>
      <c r="N851" s="161" t="s">
        <v>108</v>
      </c>
      <c r="O851" s="21" t="s">
        <v>68</v>
      </c>
      <c r="P851" s="161" t="s">
        <v>109</v>
      </c>
      <c r="Q851" s="21" t="s">
        <v>70</v>
      </c>
      <c r="R851" s="161">
        <v>70</v>
      </c>
      <c r="S851" s="161" t="s">
        <v>906</v>
      </c>
      <c r="T851" s="161" t="s">
        <v>174</v>
      </c>
      <c r="U851" s="161" t="s">
        <v>142</v>
      </c>
      <c r="V851" s="21" t="s">
        <v>74</v>
      </c>
      <c r="W851" s="21" t="s">
        <v>910</v>
      </c>
      <c r="X851" s="161" t="s">
        <v>911</v>
      </c>
      <c r="Y851" s="161">
        <v>1.4749999999999999E-2</v>
      </c>
      <c r="Z851" s="161">
        <v>3.6</v>
      </c>
      <c r="AA851" s="161" t="s">
        <v>144</v>
      </c>
      <c r="AB851" s="161" t="s">
        <v>114</v>
      </c>
      <c r="AC851" s="266" t="str">
        <f>HYPERLINK("https://gcsvt.ru/svetodiodnyie-svetilniki/svt-str-m-53w-100-duo-s-zashchitoy-ot-380/","Ссылка")</f>
        <v>Ссылка</v>
      </c>
      <c r="AD851" s="167">
        <v>18156</v>
      </c>
    </row>
    <row r="852" spans="1:30" s="161" customFormat="1" ht="39.950000000000003" hidden="1" customHeight="1" outlineLevel="2" x14ac:dyDescent="0.25">
      <c r="A852" s="21"/>
      <c r="B852" s="21" t="s">
        <v>870</v>
      </c>
      <c r="C852" s="159" t="s">
        <v>935</v>
      </c>
      <c r="D852" s="161">
        <v>16840</v>
      </c>
      <c r="E852" s="161">
        <v>106</v>
      </c>
      <c r="F852" s="161">
        <v>158</v>
      </c>
      <c r="G852" s="161" t="s">
        <v>936</v>
      </c>
      <c r="H852" s="161" t="s">
        <v>189</v>
      </c>
      <c r="I852" s="161">
        <v>67</v>
      </c>
      <c r="J852" s="161" t="s">
        <v>105</v>
      </c>
      <c r="K852" s="21" t="s">
        <v>106</v>
      </c>
      <c r="L852" s="161" t="s">
        <v>3380</v>
      </c>
      <c r="M852" s="21" t="s">
        <v>107</v>
      </c>
      <c r="N852" s="161" t="s">
        <v>108</v>
      </c>
      <c r="O852" s="21" t="s">
        <v>68</v>
      </c>
      <c r="P852" s="161" t="s">
        <v>109</v>
      </c>
      <c r="Q852" s="21" t="s">
        <v>70</v>
      </c>
      <c r="R852" s="161">
        <v>70</v>
      </c>
      <c r="S852" s="161" t="s">
        <v>906</v>
      </c>
      <c r="T852" s="161" t="s">
        <v>174</v>
      </c>
      <c r="U852" s="161" t="s">
        <v>142</v>
      </c>
      <c r="V852" s="21" t="s">
        <v>74</v>
      </c>
      <c r="W852" s="21" t="s">
        <v>910</v>
      </c>
      <c r="X852" s="161" t="s">
        <v>911</v>
      </c>
      <c r="Y852" s="161">
        <v>1.4749999999999999E-2</v>
      </c>
      <c r="Z852" s="161">
        <v>3.6</v>
      </c>
      <c r="AA852" s="161" t="s">
        <v>144</v>
      </c>
      <c r="AB852" s="161" t="s">
        <v>114</v>
      </c>
      <c r="AC852" s="266" t="str">
        <f>HYPERLINK("https://gcsvt.ru/svetodiodnyie-svetilniki/svt-str-m-53w-30x120-duo-s-zashchitoy-ot-380/","Ссылка")</f>
        <v>Ссылка</v>
      </c>
      <c r="AD852" s="167">
        <v>18156</v>
      </c>
    </row>
    <row r="853" spans="1:30" s="161" customFormat="1" ht="39.950000000000003" hidden="1" customHeight="1" outlineLevel="2" x14ac:dyDescent="0.25">
      <c r="A853" s="21"/>
      <c r="B853" s="21" t="s">
        <v>870</v>
      </c>
      <c r="C853" s="159" t="s">
        <v>937</v>
      </c>
      <c r="D853" s="161">
        <v>16840</v>
      </c>
      <c r="E853" s="161">
        <v>106</v>
      </c>
      <c r="F853" s="161">
        <v>158</v>
      </c>
      <c r="G853" s="161" t="s">
        <v>938</v>
      </c>
      <c r="H853" s="161" t="s">
        <v>192</v>
      </c>
      <c r="I853" s="161">
        <v>67</v>
      </c>
      <c r="J853" s="161" t="s">
        <v>105</v>
      </c>
      <c r="K853" s="21" t="s">
        <v>106</v>
      </c>
      <c r="L853" s="161" t="s">
        <v>3380</v>
      </c>
      <c r="M853" s="21" t="s">
        <v>107</v>
      </c>
      <c r="N853" s="161" t="s">
        <v>108</v>
      </c>
      <c r="O853" s="21" t="s">
        <v>68</v>
      </c>
      <c r="P853" s="161" t="s">
        <v>109</v>
      </c>
      <c r="Q853" s="21" t="s">
        <v>70</v>
      </c>
      <c r="R853" s="161">
        <v>70</v>
      </c>
      <c r="S853" s="161" t="s">
        <v>906</v>
      </c>
      <c r="T853" s="161" t="s">
        <v>174</v>
      </c>
      <c r="U853" s="161" t="s">
        <v>142</v>
      </c>
      <c r="V853" s="21" t="s">
        <v>74</v>
      </c>
      <c r="W853" s="21" t="s">
        <v>910</v>
      </c>
      <c r="X853" s="161" t="s">
        <v>911</v>
      </c>
      <c r="Y853" s="161">
        <v>1.4749999999999999E-2</v>
      </c>
      <c r="Z853" s="161">
        <v>3.6</v>
      </c>
      <c r="AA853" s="161" t="s">
        <v>144</v>
      </c>
      <c r="AB853" s="161" t="s">
        <v>114</v>
      </c>
      <c r="AC853" s="266" t="str">
        <f>HYPERLINK("https://gcsvt.ru/svetodiodnyie-svetilniki/svt-str-m-53w-vsm-duo-s-zashchitoy-ot-380/","Ссылка")</f>
        <v>Ссылка</v>
      </c>
      <c r="AD853" s="167">
        <v>18156</v>
      </c>
    </row>
    <row r="854" spans="1:30" s="161" customFormat="1" ht="39.950000000000003" hidden="1" customHeight="1" outlineLevel="2" x14ac:dyDescent="0.25">
      <c r="A854" s="21"/>
      <c r="B854" s="21" t="s">
        <v>870</v>
      </c>
      <c r="C854" s="159" t="s">
        <v>2769</v>
      </c>
      <c r="D854" s="161">
        <v>23900</v>
      </c>
      <c r="E854" s="161">
        <v>158</v>
      </c>
      <c r="F854" s="161">
        <v>151</v>
      </c>
      <c r="G854" s="161" t="s">
        <v>939</v>
      </c>
      <c r="H854" s="161" t="s">
        <v>63</v>
      </c>
      <c r="I854" s="161">
        <v>67</v>
      </c>
      <c r="J854" s="161" t="s">
        <v>105</v>
      </c>
      <c r="K854" s="21" t="s">
        <v>106</v>
      </c>
      <c r="L854" s="161" t="s">
        <v>3380</v>
      </c>
      <c r="M854" s="21" t="s">
        <v>157</v>
      </c>
      <c r="N854" s="161" t="s">
        <v>67</v>
      </c>
      <c r="O854" s="21" t="s">
        <v>68</v>
      </c>
      <c r="P854" s="161" t="s">
        <v>109</v>
      </c>
      <c r="Q854" s="21" t="s">
        <v>70</v>
      </c>
      <c r="R854" s="161">
        <v>70</v>
      </c>
      <c r="S854" s="161" t="s">
        <v>940</v>
      </c>
      <c r="T854" s="161" t="s">
        <v>174</v>
      </c>
      <c r="U854" s="161" t="s">
        <v>73</v>
      </c>
      <c r="V854" s="21" t="s">
        <v>74</v>
      </c>
      <c r="W854" s="21" t="s">
        <v>160</v>
      </c>
      <c r="X854" s="161" t="s">
        <v>941</v>
      </c>
      <c r="Y854" s="161">
        <v>2.0719999999999999E-2</v>
      </c>
      <c r="Z854" s="161">
        <v>5.2</v>
      </c>
      <c r="AA854" s="161" t="s">
        <v>942</v>
      </c>
      <c r="AB854" s="161" t="s">
        <v>114</v>
      </c>
      <c r="AC854" s="266" t="str">
        <f>HYPERLINK("https://gcsvt.ru/svetodiodnyie-svetilniki/svt-str-m-79w-45x140-duo-s/","Ссылка")</f>
        <v>Ссылка</v>
      </c>
      <c r="AD854" s="167">
        <v>27336</v>
      </c>
    </row>
    <row r="855" spans="1:30" s="161" customFormat="1" ht="39.950000000000003" hidden="1" customHeight="1" outlineLevel="2" x14ac:dyDescent="0.25">
      <c r="A855" s="21"/>
      <c r="B855" s="21" t="s">
        <v>870</v>
      </c>
      <c r="C855" s="159" t="s">
        <v>943</v>
      </c>
      <c r="D855" s="161">
        <v>23900</v>
      </c>
      <c r="E855" s="161">
        <v>158</v>
      </c>
      <c r="F855" s="161">
        <v>151</v>
      </c>
      <c r="G855" s="161" t="s">
        <v>944</v>
      </c>
      <c r="H855" s="161" t="s">
        <v>63</v>
      </c>
      <c r="I855" s="161">
        <v>67</v>
      </c>
      <c r="J855" s="161" t="s">
        <v>105</v>
      </c>
      <c r="K855" s="21" t="s">
        <v>106</v>
      </c>
      <c r="L855" s="161" t="s">
        <v>3380</v>
      </c>
      <c r="M855" s="21" t="s">
        <v>157</v>
      </c>
      <c r="N855" s="161" t="s">
        <v>67</v>
      </c>
      <c r="O855" s="21" t="s">
        <v>68</v>
      </c>
      <c r="P855" s="161" t="s">
        <v>109</v>
      </c>
      <c r="Q855" s="21" t="s">
        <v>70</v>
      </c>
      <c r="R855" s="161">
        <v>70</v>
      </c>
      <c r="S855" s="161" t="s">
        <v>940</v>
      </c>
      <c r="T855" s="161" t="s">
        <v>174</v>
      </c>
      <c r="U855" s="161" t="s">
        <v>73</v>
      </c>
      <c r="V855" s="21" t="s">
        <v>74</v>
      </c>
      <c r="W855" s="21" t="s">
        <v>762</v>
      </c>
      <c r="X855" s="161" t="s">
        <v>945</v>
      </c>
      <c r="Y855" s="161">
        <v>1.8499999999999999E-2</v>
      </c>
      <c r="Z855" s="161">
        <v>5.2</v>
      </c>
      <c r="AA855" s="161" t="s">
        <v>77</v>
      </c>
      <c r="AB855" s="161" t="s">
        <v>114</v>
      </c>
      <c r="AC855" s="266" t="str">
        <f>HYPERLINK("https://gcsvt.ru/svetodiodnyie-svetilniki/svt-str-m-79w-45x140-duo/","Ссылка")</f>
        <v>Ссылка</v>
      </c>
      <c r="AD855" s="167">
        <v>27336</v>
      </c>
    </row>
    <row r="856" spans="1:30" s="161" customFormat="1" ht="39.950000000000003" hidden="1" customHeight="1" outlineLevel="2" x14ac:dyDescent="0.25">
      <c r="A856" s="21"/>
      <c r="B856" s="21" t="s">
        <v>870</v>
      </c>
      <c r="C856" s="159" t="s">
        <v>946</v>
      </c>
      <c r="D856" s="161">
        <v>23900</v>
      </c>
      <c r="E856" s="161">
        <v>158</v>
      </c>
      <c r="F856" s="161">
        <v>151</v>
      </c>
      <c r="G856" s="161" t="s">
        <v>947</v>
      </c>
      <c r="H856" s="161" t="s">
        <v>177</v>
      </c>
      <c r="I856" s="161">
        <v>67</v>
      </c>
      <c r="J856" s="161" t="s">
        <v>105</v>
      </c>
      <c r="K856" s="21" t="s">
        <v>106</v>
      </c>
      <c r="L856" s="161" t="s">
        <v>3380</v>
      </c>
      <c r="M856" s="21" t="s">
        <v>157</v>
      </c>
      <c r="N856" s="161" t="s">
        <v>67</v>
      </c>
      <c r="O856" s="21" t="s">
        <v>68</v>
      </c>
      <c r="P856" s="161" t="s">
        <v>109</v>
      </c>
      <c r="Q856" s="21" t="s">
        <v>70</v>
      </c>
      <c r="R856" s="161">
        <v>70</v>
      </c>
      <c r="S856" s="161" t="s">
        <v>940</v>
      </c>
      <c r="T856" s="161" t="s">
        <v>174</v>
      </c>
      <c r="U856" s="161" t="s">
        <v>73</v>
      </c>
      <c r="V856" s="21" t="s">
        <v>74</v>
      </c>
      <c r="W856" s="21" t="s">
        <v>762</v>
      </c>
      <c r="X856" s="161" t="s">
        <v>945</v>
      </c>
      <c r="Y856" s="161">
        <v>1.8499999999999999E-2</v>
      </c>
      <c r="Z856" s="161">
        <v>5.2</v>
      </c>
      <c r="AA856" s="161" t="s">
        <v>77</v>
      </c>
      <c r="AB856" s="161" t="s">
        <v>114</v>
      </c>
      <c r="AC856" s="266" t="str">
        <f>HYPERLINK("https://gcsvt.ru/svetodiodnyie-svetilniki/SVT-STR-M-79W-20-DUO/","Ссылка")</f>
        <v>Ссылка</v>
      </c>
      <c r="AD856" s="167">
        <v>27336</v>
      </c>
    </row>
    <row r="857" spans="1:30" s="161" customFormat="1" ht="39.950000000000003" hidden="1" customHeight="1" outlineLevel="2" x14ac:dyDescent="0.25">
      <c r="A857" s="21"/>
      <c r="B857" s="21" t="s">
        <v>870</v>
      </c>
      <c r="C857" s="159" t="s">
        <v>948</v>
      </c>
      <c r="D857" s="161">
        <v>23900</v>
      </c>
      <c r="E857" s="161">
        <v>158</v>
      </c>
      <c r="F857" s="161">
        <v>151</v>
      </c>
      <c r="G857" s="161" t="s">
        <v>949</v>
      </c>
      <c r="H857" s="161" t="s">
        <v>180</v>
      </c>
      <c r="I857" s="161">
        <v>67</v>
      </c>
      <c r="J857" s="161" t="s">
        <v>105</v>
      </c>
      <c r="K857" s="21" t="s">
        <v>106</v>
      </c>
      <c r="L857" s="161" t="s">
        <v>3380</v>
      </c>
      <c r="M857" s="21" t="s">
        <v>157</v>
      </c>
      <c r="N857" s="161" t="s">
        <v>67</v>
      </c>
      <c r="O857" s="21" t="s">
        <v>68</v>
      </c>
      <c r="P857" s="161" t="s">
        <v>109</v>
      </c>
      <c r="Q857" s="21" t="s">
        <v>70</v>
      </c>
      <c r="R857" s="161">
        <v>70</v>
      </c>
      <c r="S857" s="161" t="s">
        <v>940</v>
      </c>
      <c r="T857" s="161" t="s">
        <v>174</v>
      </c>
      <c r="U857" s="161" t="s">
        <v>73</v>
      </c>
      <c r="V857" s="21" t="s">
        <v>74</v>
      </c>
      <c r="W857" s="21" t="s">
        <v>762</v>
      </c>
      <c r="X857" s="161" t="s">
        <v>945</v>
      </c>
      <c r="Y857" s="161">
        <v>1.8499999999999999E-2</v>
      </c>
      <c r="Z857" s="161">
        <v>5.2</v>
      </c>
      <c r="AA857" s="161" t="s">
        <v>77</v>
      </c>
      <c r="AB857" s="161" t="s">
        <v>114</v>
      </c>
      <c r="AC857" s="266" t="str">
        <f>HYPERLINK("https://gcsvt.ru/svetodiodnyie-svetilniki/SVT-STR-M-79W-35-DUO/","Ссылка")</f>
        <v>Ссылка</v>
      </c>
      <c r="AD857" s="167">
        <v>27336</v>
      </c>
    </row>
    <row r="858" spans="1:30" s="161" customFormat="1" ht="39.950000000000003" hidden="1" customHeight="1" outlineLevel="2" x14ac:dyDescent="0.25">
      <c r="A858" s="21"/>
      <c r="B858" s="21" t="s">
        <v>870</v>
      </c>
      <c r="C858" s="159" t="s">
        <v>950</v>
      </c>
      <c r="D858" s="161">
        <v>23900</v>
      </c>
      <c r="E858" s="161">
        <v>158</v>
      </c>
      <c r="F858" s="161">
        <v>151</v>
      </c>
      <c r="G858" s="161" t="s">
        <v>951</v>
      </c>
      <c r="H858" s="161" t="s">
        <v>183</v>
      </c>
      <c r="I858" s="161">
        <v>67</v>
      </c>
      <c r="J858" s="161" t="s">
        <v>105</v>
      </c>
      <c r="K858" s="21" t="s">
        <v>106</v>
      </c>
      <c r="L858" s="161" t="s">
        <v>3380</v>
      </c>
      <c r="M858" s="21" t="s">
        <v>157</v>
      </c>
      <c r="N858" s="161" t="s">
        <v>67</v>
      </c>
      <c r="O858" s="21" t="s">
        <v>68</v>
      </c>
      <c r="P858" s="161" t="s">
        <v>109</v>
      </c>
      <c r="Q858" s="21" t="s">
        <v>70</v>
      </c>
      <c r="R858" s="161">
        <v>70</v>
      </c>
      <c r="S858" s="161" t="s">
        <v>940</v>
      </c>
      <c r="T858" s="161" t="s">
        <v>174</v>
      </c>
      <c r="U858" s="161" t="s">
        <v>73</v>
      </c>
      <c r="V858" s="21" t="s">
        <v>74</v>
      </c>
      <c r="W858" s="21" t="s">
        <v>762</v>
      </c>
      <c r="X858" s="161" t="s">
        <v>945</v>
      </c>
      <c r="Y858" s="161">
        <v>1.8499999999999999E-2</v>
      </c>
      <c r="Z858" s="161">
        <v>5.2</v>
      </c>
      <c r="AA858" s="161" t="s">
        <v>77</v>
      </c>
      <c r="AB858" s="161" t="s">
        <v>114</v>
      </c>
      <c r="AC858" s="266" t="str">
        <f>HYPERLINK("https://gcsvt.ru/svetodiodnyie-svetilniki/SVT-STR-M-79W-65-DUO/","Ссылка")</f>
        <v>Ссылка</v>
      </c>
      <c r="AD858" s="167">
        <v>27336</v>
      </c>
    </row>
    <row r="859" spans="1:30" s="161" customFormat="1" ht="39.950000000000003" hidden="1" customHeight="1" outlineLevel="2" x14ac:dyDescent="0.25">
      <c r="A859" s="21"/>
      <c r="B859" s="21" t="s">
        <v>870</v>
      </c>
      <c r="C859" s="159" t="s">
        <v>952</v>
      </c>
      <c r="D859" s="161">
        <v>23900</v>
      </c>
      <c r="E859" s="161">
        <v>158</v>
      </c>
      <c r="F859" s="161">
        <v>151</v>
      </c>
      <c r="G859" s="161" t="s">
        <v>953</v>
      </c>
      <c r="H859" s="161" t="s">
        <v>186</v>
      </c>
      <c r="I859" s="161">
        <v>67</v>
      </c>
      <c r="J859" s="161" t="s">
        <v>105</v>
      </c>
      <c r="K859" s="21" t="s">
        <v>106</v>
      </c>
      <c r="L859" s="161" t="s">
        <v>3380</v>
      </c>
      <c r="M859" s="21" t="s">
        <v>157</v>
      </c>
      <c r="N859" s="161" t="s">
        <v>67</v>
      </c>
      <c r="O859" s="21" t="s">
        <v>68</v>
      </c>
      <c r="P859" s="161" t="s">
        <v>109</v>
      </c>
      <c r="Q859" s="21" t="s">
        <v>70</v>
      </c>
      <c r="R859" s="161">
        <v>70</v>
      </c>
      <c r="S859" s="161" t="s">
        <v>940</v>
      </c>
      <c r="T859" s="161" t="s">
        <v>174</v>
      </c>
      <c r="U859" s="161" t="s">
        <v>73</v>
      </c>
      <c r="V859" s="21" t="s">
        <v>74</v>
      </c>
      <c r="W859" s="21" t="s">
        <v>762</v>
      </c>
      <c r="X859" s="161" t="s">
        <v>945</v>
      </c>
      <c r="Y859" s="161">
        <v>1.8499999999999999E-2</v>
      </c>
      <c r="Z859" s="161">
        <v>5.2</v>
      </c>
      <c r="AA859" s="161" t="s">
        <v>77</v>
      </c>
      <c r="AB859" s="161" t="s">
        <v>114</v>
      </c>
      <c r="AC859" s="266" t="str">
        <f>HYPERLINK("https://gcsvt.ru/svetodiodnyie-svetilniki/svt-str-m-79w-100-duo/","Ссылка")</f>
        <v>Ссылка</v>
      </c>
      <c r="AD859" s="167">
        <v>27336</v>
      </c>
    </row>
    <row r="860" spans="1:30" s="161" customFormat="1" ht="39.950000000000003" hidden="1" customHeight="1" outlineLevel="2" x14ac:dyDescent="0.25">
      <c r="A860" s="21"/>
      <c r="B860" s="21" t="s">
        <v>870</v>
      </c>
      <c r="C860" s="159" t="s">
        <v>954</v>
      </c>
      <c r="D860" s="161">
        <v>23900</v>
      </c>
      <c r="E860" s="161">
        <v>158</v>
      </c>
      <c r="F860" s="161">
        <v>151</v>
      </c>
      <c r="G860" s="161" t="s">
        <v>955</v>
      </c>
      <c r="H860" s="161" t="s">
        <v>189</v>
      </c>
      <c r="I860" s="161">
        <v>67</v>
      </c>
      <c r="J860" s="161" t="s">
        <v>105</v>
      </c>
      <c r="K860" s="21" t="s">
        <v>106</v>
      </c>
      <c r="L860" s="161" t="s">
        <v>3380</v>
      </c>
      <c r="M860" s="21" t="s">
        <v>157</v>
      </c>
      <c r="N860" s="161" t="s">
        <v>67</v>
      </c>
      <c r="O860" s="21" t="s">
        <v>68</v>
      </c>
      <c r="P860" s="161" t="s">
        <v>109</v>
      </c>
      <c r="Q860" s="21" t="s">
        <v>70</v>
      </c>
      <c r="R860" s="161">
        <v>70</v>
      </c>
      <c r="S860" s="161" t="s">
        <v>940</v>
      </c>
      <c r="T860" s="161" t="s">
        <v>174</v>
      </c>
      <c r="U860" s="161" t="s">
        <v>73</v>
      </c>
      <c r="V860" s="21" t="s">
        <v>74</v>
      </c>
      <c r="W860" s="21" t="s">
        <v>762</v>
      </c>
      <c r="X860" s="161" t="s">
        <v>945</v>
      </c>
      <c r="Y860" s="161">
        <v>1.8499999999999999E-2</v>
      </c>
      <c r="Z860" s="161">
        <v>5.2</v>
      </c>
      <c r="AA860" s="161" t="s">
        <v>77</v>
      </c>
      <c r="AB860" s="161" t="s">
        <v>114</v>
      </c>
      <c r="AC860" s="266" t="str">
        <f>HYPERLINK("https://gcsvt.ru/svetodiodnyie-svetilniki/svt-str-m-79w-30x120-duo/","Ссылка")</f>
        <v>Ссылка</v>
      </c>
      <c r="AD860" s="167">
        <v>27336</v>
      </c>
    </row>
    <row r="861" spans="1:30" s="161" customFormat="1" ht="39.950000000000003" hidden="1" customHeight="1" outlineLevel="2" x14ac:dyDescent="0.25">
      <c r="A861" s="21"/>
      <c r="B861" s="21" t="s">
        <v>870</v>
      </c>
      <c r="C861" s="159" t="s">
        <v>956</v>
      </c>
      <c r="D861" s="161">
        <v>23900</v>
      </c>
      <c r="E861" s="161">
        <v>158</v>
      </c>
      <c r="F861" s="161">
        <v>151</v>
      </c>
      <c r="G861" s="161" t="s">
        <v>957</v>
      </c>
      <c r="H861" s="161" t="s">
        <v>192</v>
      </c>
      <c r="I861" s="161">
        <v>67</v>
      </c>
      <c r="J861" s="161" t="s">
        <v>105</v>
      </c>
      <c r="K861" s="21" t="s">
        <v>106</v>
      </c>
      <c r="L861" s="161" t="s">
        <v>3380</v>
      </c>
      <c r="M861" s="21" t="s">
        <v>157</v>
      </c>
      <c r="N861" s="161" t="s">
        <v>67</v>
      </c>
      <c r="O861" s="21" t="s">
        <v>68</v>
      </c>
      <c r="P861" s="161" t="s">
        <v>109</v>
      </c>
      <c r="Q861" s="21" t="s">
        <v>70</v>
      </c>
      <c r="R861" s="161">
        <v>70</v>
      </c>
      <c r="S861" s="161" t="s">
        <v>940</v>
      </c>
      <c r="T861" s="161" t="s">
        <v>174</v>
      </c>
      <c r="U861" s="161" t="s">
        <v>73</v>
      </c>
      <c r="V861" s="21" t="s">
        <v>74</v>
      </c>
      <c r="W861" s="21" t="s">
        <v>762</v>
      </c>
      <c r="X861" s="161" t="s">
        <v>945</v>
      </c>
      <c r="Y861" s="161">
        <v>1.8499999999999999E-2</v>
      </c>
      <c r="Z861" s="161">
        <v>5.2</v>
      </c>
      <c r="AA861" s="161" t="s">
        <v>77</v>
      </c>
      <c r="AB861" s="161" t="s">
        <v>114</v>
      </c>
      <c r="AC861" s="266" t="str">
        <f>HYPERLINK("https://gcsvt.ru/svetodiodnyie-svetilniki/svt-str-m-79w-vsm-duo/","Ссылка")</f>
        <v>Ссылка</v>
      </c>
      <c r="AD861" s="167">
        <v>27336</v>
      </c>
    </row>
    <row r="862" spans="1:30" s="161" customFormat="1" ht="39.950000000000003" hidden="1" customHeight="1" outlineLevel="2" x14ac:dyDescent="0.25">
      <c r="A862" s="21"/>
      <c r="B862" s="21" t="s">
        <v>870</v>
      </c>
      <c r="C862" s="159" t="s">
        <v>2770</v>
      </c>
      <c r="D862" s="161">
        <v>12420</v>
      </c>
      <c r="E862" s="161">
        <v>81</v>
      </c>
      <c r="F862" s="161">
        <v>153</v>
      </c>
      <c r="G862" s="161" t="s">
        <v>958</v>
      </c>
      <c r="H862" s="161" t="s">
        <v>63</v>
      </c>
      <c r="I862" s="161">
        <v>67</v>
      </c>
      <c r="J862" s="161" t="s">
        <v>105</v>
      </c>
      <c r="K862" s="21" t="s">
        <v>106</v>
      </c>
      <c r="L862" s="161" t="s">
        <v>3380</v>
      </c>
      <c r="M862" s="21" t="s">
        <v>568</v>
      </c>
      <c r="N862" s="161" t="s">
        <v>108</v>
      </c>
      <c r="O862" s="21" t="s">
        <v>68</v>
      </c>
      <c r="P862" s="161" t="s">
        <v>109</v>
      </c>
      <c r="Q862" s="21" t="s">
        <v>70</v>
      </c>
      <c r="R862" s="161">
        <v>70</v>
      </c>
      <c r="S862" s="161" t="s">
        <v>959</v>
      </c>
      <c r="T862" s="161" t="s">
        <v>174</v>
      </c>
      <c r="U862" s="161" t="s">
        <v>142</v>
      </c>
      <c r="V862" s="21" t="s">
        <v>74</v>
      </c>
      <c r="W862" s="21" t="s">
        <v>160</v>
      </c>
      <c r="X862" s="161" t="s">
        <v>960</v>
      </c>
      <c r="Y862" s="161">
        <v>1.554E-2</v>
      </c>
      <c r="Z862" s="161">
        <v>3.9</v>
      </c>
      <c r="AA862" s="161" t="s">
        <v>144</v>
      </c>
      <c r="AB862" s="161" t="s">
        <v>114</v>
      </c>
      <c r="AC862" s="266" t="str">
        <f>HYPERLINK("https://gcsvt.ru/svetodiodnyie-svetilniki/svt-str-m-27w-45x140-trio-s/","Ссылка")</f>
        <v>Ссылка</v>
      </c>
      <c r="AD862" s="167">
        <v>17136</v>
      </c>
    </row>
    <row r="863" spans="1:30" s="161" customFormat="1" ht="39.950000000000003" hidden="1" customHeight="1" outlineLevel="2" x14ac:dyDescent="0.25">
      <c r="A863" s="21"/>
      <c r="B863" s="21" t="s">
        <v>870</v>
      </c>
      <c r="C863" s="159" t="s">
        <v>961</v>
      </c>
      <c r="D863" s="161">
        <v>12420</v>
      </c>
      <c r="E863" s="161">
        <v>81</v>
      </c>
      <c r="F863" s="161">
        <v>153</v>
      </c>
      <c r="G863" s="161" t="s">
        <v>962</v>
      </c>
      <c r="H863" s="161" t="s">
        <v>63</v>
      </c>
      <c r="I863" s="161">
        <v>67</v>
      </c>
      <c r="J863" s="161" t="s">
        <v>105</v>
      </c>
      <c r="K863" s="21" t="s">
        <v>106</v>
      </c>
      <c r="L863" s="161" t="s">
        <v>3380</v>
      </c>
      <c r="M863" s="21" t="s">
        <v>568</v>
      </c>
      <c r="N863" s="161" t="s">
        <v>108</v>
      </c>
      <c r="O863" s="21" t="s">
        <v>68</v>
      </c>
      <c r="P863" s="161" t="s">
        <v>109</v>
      </c>
      <c r="Q863" s="21" t="s">
        <v>70</v>
      </c>
      <c r="R863" s="161">
        <v>70</v>
      </c>
      <c r="S863" s="161" t="s">
        <v>959</v>
      </c>
      <c r="T863" s="161" t="s">
        <v>174</v>
      </c>
      <c r="U863" s="161" t="s">
        <v>142</v>
      </c>
      <c r="V863" s="21" t="s">
        <v>74</v>
      </c>
      <c r="W863" s="21" t="s">
        <v>876</v>
      </c>
      <c r="X863" s="161" t="s">
        <v>960</v>
      </c>
      <c r="Y863" s="161">
        <v>1.554E-2</v>
      </c>
      <c r="Z863" s="161">
        <v>3.9</v>
      </c>
      <c r="AA863" s="161" t="s">
        <v>144</v>
      </c>
      <c r="AB863" s="161" t="s">
        <v>114</v>
      </c>
      <c r="AC863" s="266" t="str">
        <f>HYPERLINK("https://gcsvt.ru/svetodiodnyie-svetilniki/svt-str-m-27w-45x140-trio/","Ссылка")</f>
        <v>Ссылка</v>
      </c>
      <c r="AD863" s="167">
        <v>17136</v>
      </c>
    </row>
    <row r="864" spans="1:30" s="161" customFormat="1" ht="39.950000000000003" hidden="1" customHeight="1" outlineLevel="2" x14ac:dyDescent="0.25">
      <c r="A864" s="21"/>
      <c r="B864" s="21" t="s">
        <v>870</v>
      </c>
      <c r="C864" s="159" t="s">
        <v>963</v>
      </c>
      <c r="D864" s="161">
        <v>12420</v>
      </c>
      <c r="E864" s="161">
        <v>81</v>
      </c>
      <c r="F864" s="161">
        <v>153</v>
      </c>
      <c r="G864" s="161" t="s">
        <v>964</v>
      </c>
      <c r="H864" s="161" t="s">
        <v>177</v>
      </c>
      <c r="I864" s="161">
        <v>67</v>
      </c>
      <c r="J864" s="161" t="s">
        <v>105</v>
      </c>
      <c r="K864" s="21" t="s">
        <v>106</v>
      </c>
      <c r="L864" s="161" t="s">
        <v>3380</v>
      </c>
      <c r="M864" s="21" t="s">
        <v>568</v>
      </c>
      <c r="N864" s="161" t="s">
        <v>108</v>
      </c>
      <c r="O864" s="21" t="s">
        <v>68</v>
      </c>
      <c r="P864" s="161" t="s">
        <v>109</v>
      </c>
      <c r="Q864" s="21" t="s">
        <v>70</v>
      </c>
      <c r="R864" s="161">
        <v>70</v>
      </c>
      <c r="S864" s="161" t="s">
        <v>959</v>
      </c>
      <c r="T864" s="161" t="s">
        <v>174</v>
      </c>
      <c r="U864" s="161" t="s">
        <v>142</v>
      </c>
      <c r="V864" s="21" t="s">
        <v>74</v>
      </c>
      <c r="W864" s="21" t="s">
        <v>876</v>
      </c>
      <c r="X864" s="161" t="s">
        <v>960</v>
      </c>
      <c r="Y864" s="161">
        <v>1.554E-2</v>
      </c>
      <c r="Z864" s="161">
        <v>3.9</v>
      </c>
      <c r="AA864" s="161" t="s">
        <v>144</v>
      </c>
      <c r="AB864" s="161" t="s">
        <v>114</v>
      </c>
      <c r="AC864" s="266" t="str">
        <f>HYPERLINK("https://gcsvt.ru/svetodiodnyie-svetilniki/SVT-STR-M-27W-20-TRIO/","Ссылка")</f>
        <v>Ссылка</v>
      </c>
      <c r="AD864" s="167">
        <v>17136</v>
      </c>
    </row>
    <row r="865" spans="1:30" s="161" customFormat="1" ht="39.950000000000003" hidden="1" customHeight="1" outlineLevel="2" x14ac:dyDescent="0.25">
      <c r="A865" s="21"/>
      <c r="B865" s="21" t="s">
        <v>870</v>
      </c>
      <c r="C865" s="159" t="s">
        <v>965</v>
      </c>
      <c r="D865" s="161">
        <v>12420</v>
      </c>
      <c r="E865" s="161">
        <v>81</v>
      </c>
      <c r="F865" s="161">
        <v>153</v>
      </c>
      <c r="G865" s="161" t="s">
        <v>966</v>
      </c>
      <c r="H865" s="161" t="s">
        <v>180</v>
      </c>
      <c r="I865" s="161">
        <v>67</v>
      </c>
      <c r="J865" s="161" t="s">
        <v>105</v>
      </c>
      <c r="K865" s="21" t="s">
        <v>106</v>
      </c>
      <c r="L865" s="161" t="s">
        <v>3380</v>
      </c>
      <c r="M865" s="21" t="s">
        <v>568</v>
      </c>
      <c r="N865" s="161" t="s">
        <v>108</v>
      </c>
      <c r="O865" s="21" t="s">
        <v>68</v>
      </c>
      <c r="P865" s="161" t="s">
        <v>109</v>
      </c>
      <c r="Q865" s="21" t="s">
        <v>70</v>
      </c>
      <c r="R865" s="161">
        <v>70</v>
      </c>
      <c r="S865" s="161" t="s">
        <v>959</v>
      </c>
      <c r="T865" s="161" t="s">
        <v>174</v>
      </c>
      <c r="U865" s="161" t="s">
        <v>142</v>
      </c>
      <c r="V865" s="21" t="s">
        <v>74</v>
      </c>
      <c r="W865" s="21" t="s">
        <v>876</v>
      </c>
      <c r="X865" s="161" t="s">
        <v>960</v>
      </c>
      <c r="Y865" s="161">
        <v>1.554E-2</v>
      </c>
      <c r="Z865" s="161">
        <v>3.9</v>
      </c>
      <c r="AA865" s="161" t="s">
        <v>144</v>
      </c>
      <c r="AB865" s="161" t="s">
        <v>114</v>
      </c>
      <c r="AC865" s="266" t="str">
        <f>HYPERLINK("https://gcsvt.ru/svetodiodnyie-svetilniki/SVT-STR-M-27W-35-TRIO/","Ссылка")</f>
        <v>Ссылка</v>
      </c>
      <c r="AD865" s="167">
        <v>17136</v>
      </c>
    </row>
    <row r="866" spans="1:30" s="161" customFormat="1" ht="39.950000000000003" hidden="1" customHeight="1" outlineLevel="2" x14ac:dyDescent="0.25">
      <c r="A866" s="21"/>
      <c r="B866" s="21" t="s">
        <v>870</v>
      </c>
      <c r="C866" s="159" t="s">
        <v>967</v>
      </c>
      <c r="D866" s="161">
        <v>12420</v>
      </c>
      <c r="E866" s="161">
        <v>81</v>
      </c>
      <c r="F866" s="161">
        <v>153</v>
      </c>
      <c r="G866" s="161" t="s">
        <v>968</v>
      </c>
      <c r="H866" s="161" t="s">
        <v>183</v>
      </c>
      <c r="I866" s="161">
        <v>67</v>
      </c>
      <c r="J866" s="161" t="s">
        <v>105</v>
      </c>
      <c r="K866" s="21" t="s">
        <v>106</v>
      </c>
      <c r="L866" s="161" t="s">
        <v>3380</v>
      </c>
      <c r="M866" s="21" t="s">
        <v>568</v>
      </c>
      <c r="N866" s="161" t="s">
        <v>108</v>
      </c>
      <c r="O866" s="21" t="s">
        <v>68</v>
      </c>
      <c r="P866" s="161" t="s">
        <v>109</v>
      </c>
      <c r="Q866" s="21" t="s">
        <v>70</v>
      </c>
      <c r="R866" s="161">
        <v>70</v>
      </c>
      <c r="S866" s="161" t="s">
        <v>959</v>
      </c>
      <c r="T866" s="161" t="s">
        <v>174</v>
      </c>
      <c r="U866" s="161" t="s">
        <v>142</v>
      </c>
      <c r="V866" s="21" t="s">
        <v>74</v>
      </c>
      <c r="W866" s="21" t="s">
        <v>876</v>
      </c>
      <c r="X866" s="161" t="s">
        <v>960</v>
      </c>
      <c r="Y866" s="161">
        <v>1.554E-2</v>
      </c>
      <c r="Z866" s="161">
        <v>3.9</v>
      </c>
      <c r="AA866" s="161" t="s">
        <v>144</v>
      </c>
      <c r="AB866" s="161" t="s">
        <v>114</v>
      </c>
      <c r="AC866" s="266" t="str">
        <f>HYPERLINK("https://gcsvt.ru/svetodiodnyie-svetilniki/SVT-STR-M-27W-65-TRIO/","Ссылка")</f>
        <v>Ссылка</v>
      </c>
      <c r="AD866" s="167">
        <v>17136</v>
      </c>
    </row>
    <row r="867" spans="1:30" s="161" customFormat="1" ht="39.950000000000003" hidden="1" customHeight="1" outlineLevel="2" x14ac:dyDescent="0.25">
      <c r="A867" s="21"/>
      <c r="B867" s="21" t="s">
        <v>870</v>
      </c>
      <c r="C867" s="159" t="s">
        <v>969</v>
      </c>
      <c r="D867" s="161">
        <v>12420</v>
      </c>
      <c r="E867" s="161">
        <v>81</v>
      </c>
      <c r="F867" s="161">
        <v>153</v>
      </c>
      <c r="G867" s="161" t="s">
        <v>970</v>
      </c>
      <c r="H867" s="161" t="s">
        <v>186</v>
      </c>
      <c r="I867" s="161">
        <v>67</v>
      </c>
      <c r="J867" s="161" t="s">
        <v>105</v>
      </c>
      <c r="K867" s="21" t="s">
        <v>106</v>
      </c>
      <c r="L867" s="161" t="s">
        <v>3380</v>
      </c>
      <c r="M867" s="21" t="s">
        <v>568</v>
      </c>
      <c r="N867" s="161" t="s">
        <v>108</v>
      </c>
      <c r="O867" s="21" t="s">
        <v>68</v>
      </c>
      <c r="P867" s="161" t="s">
        <v>109</v>
      </c>
      <c r="Q867" s="21" t="s">
        <v>70</v>
      </c>
      <c r="R867" s="161">
        <v>70</v>
      </c>
      <c r="S867" s="161" t="s">
        <v>959</v>
      </c>
      <c r="T867" s="161" t="s">
        <v>174</v>
      </c>
      <c r="U867" s="161" t="s">
        <v>142</v>
      </c>
      <c r="V867" s="21" t="s">
        <v>74</v>
      </c>
      <c r="W867" s="21" t="s">
        <v>876</v>
      </c>
      <c r="X867" s="161" t="s">
        <v>960</v>
      </c>
      <c r="Y867" s="161">
        <v>1.554E-2</v>
      </c>
      <c r="Z867" s="161">
        <v>3.9</v>
      </c>
      <c r="AA867" s="161" t="s">
        <v>144</v>
      </c>
      <c r="AB867" s="161" t="s">
        <v>114</v>
      </c>
      <c r="AC867" s="266" t="str">
        <f>HYPERLINK("https://gcsvt.ru/svetodiodnyie-svetilniki/svt-str-m-27w-100-trio/","Ссылка")</f>
        <v>Ссылка</v>
      </c>
      <c r="AD867" s="167">
        <v>17136</v>
      </c>
    </row>
    <row r="868" spans="1:30" s="161" customFormat="1" ht="39.950000000000003" hidden="1" customHeight="1" outlineLevel="2" x14ac:dyDescent="0.25">
      <c r="A868" s="21"/>
      <c r="B868" s="21" t="s">
        <v>870</v>
      </c>
      <c r="C868" s="159" t="s">
        <v>971</v>
      </c>
      <c r="D868" s="161">
        <v>12420</v>
      </c>
      <c r="E868" s="161">
        <v>81</v>
      </c>
      <c r="F868" s="161">
        <v>153</v>
      </c>
      <c r="G868" s="161" t="s">
        <v>972</v>
      </c>
      <c r="H868" s="161" t="s">
        <v>189</v>
      </c>
      <c r="I868" s="161">
        <v>67</v>
      </c>
      <c r="J868" s="161" t="s">
        <v>105</v>
      </c>
      <c r="K868" s="21" t="s">
        <v>106</v>
      </c>
      <c r="L868" s="161" t="s">
        <v>3380</v>
      </c>
      <c r="M868" s="21" t="s">
        <v>568</v>
      </c>
      <c r="N868" s="161" t="s">
        <v>108</v>
      </c>
      <c r="O868" s="21" t="s">
        <v>68</v>
      </c>
      <c r="P868" s="161" t="s">
        <v>109</v>
      </c>
      <c r="Q868" s="21" t="s">
        <v>70</v>
      </c>
      <c r="R868" s="161">
        <v>70</v>
      </c>
      <c r="S868" s="161" t="s">
        <v>959</v>
      </c>
      <c r="T868" s="161" t="s">
        <v>174</v>
      </c>
      <c r="U868" s="161" t="s">
        <v>142</v>
      </c>
      <c r="V868" s="21" t="s">
        <v>74</v>
      </c>
      <c r="W868" s="21" t="s">
        <v>876</v>
      </c>
      <c r="X868" s="161" t="s">
        <v>960</v>
      </c>
      <c r="Y868" s="161">
        <v>1.554E-2</v>
      </c>
      <c r="Z868" s="161">
        <v>3.9</v>
      </c>
      <c r="AA868" s="161" t="s">
        <v>144</v>
      </c>
      <c r="AB868" s="161" t="s">
        <v>114</v>
      </c>
      <c r="AC868" s="266" t="str">
        <f>HYPERLINK("https://gcsvt.ru/svetodiodnyie-svetilniki/svt-str-m-27w-30x120-trio/","Ссылка")</f>
        <v>Ссылка</v>
      </c>
      <c r="AD868" s="167">
        <v>17136</v>
      </c>
    </row>
    <row r="869" spans="1:30" s="161" customFormat="1" ht="39.950000000000003" hidden="1" customHeight="1" outlineLevel="2" x14ac:dyDescent="0.25">
      <c r="A869" s="21"/>
      <c r="B869" s="21" t="s">
        <v>870</v>
      </c>
      <c r="C869" s="159" t="s">
        <v>973</v>
      </c>
      <c r="D869" s="161">
        <v>12420</v>
      </c>
      <c r="E869" s="161">
        <v>81</v>
      </c>
      <c r="F869" s="161">
        <v>153</v>
      </c>
      <c r="G869" s="161" t="s">
        <v>974</v>
      </c>
      <c r="H869" s="161" t="s">
        <v>192</v>
      </c>
      <c r="I869" s="161">
        <v>67</v>
      </c>
      <c r="J869" s="161" t="s">
        <v>105</v>
      </c>
      <c r="K869" s="21" t="s">
        <v>106</v>
      </c>
      <c r="L869" s="161" t="s">
        <v>3380</v>
      </c>
      <c r="M869" s="21" t="s">
        <v>568</v>
      </c>
      <c r="N869" s="161" t="s">
        <v>108</v>
      </c>
      <c r="O869" s="21" t="s">
        <v>68</v>
      </c>
      <c r="P869" s="161" t="s">
        <v>109</v>
      </c>
      <c r="Q869" s="21" t="s">
        <v>70</v>
      </c>
      <c r="R869" s="161">
        <v>70</v>
      </c>
      <c r="S869" s="161" t="s">
        <v>959</v>
      </c>
      <c r="T869" s="161" t="s">
        <v>174</v>
      </c>
      <c r="U869" s="161" t="s">
        <v>142</v>
      </c>
      <c r="V869" s="21" t="s">
        <v>74</v>
      </c>
      <c r="W869" s="21" t="s">
        <v>876</v>
      </c>
      <c r="X869" s="161" t="s">
        <v>960</v>
      </c>
      <c r="Y869" s="161">
        <v>1.554E-2</v>
      </c>
      <c r="Z869" s="161">
        <v>3.9</v>
      </c>
      <c r="AA869" s="161" t="s">
        <v>144</v>
      </c>
      <c r="AB869" s="161" t="s">
        <v>114</v>
      </c>
      <c r="AC869" s="266" t="str">
        <f>HYPERLINK("https://gcsvt.ru/svetodiodnyie-svetilniki/svt-str-m-27w-vsm-trio/","Ссылка")</f>
        <v>Ссылка</v>
      </c>
      <c r="AD869" s="167">
        <v>17136</v>
      </c>
    </row>
    <row r="870" spans="1:30" s="161" customFormat="1" ht="39.950000000000003" hidden="1" customHeight="1" outlineLevel="2" x14ac:dyDescent="0.25">
      <c r="A870" s="21"/>
      <c r="B870" s="21" t="s">
        <v>870</v>
      </c>
      <c r="C870" s="159" t="s">
        <v>2771</v>
      </c>
      <c r="D870" s="161">
        <v>12420</v>
      </c>
      <c r="E870" s="161">
        <v>81</v>
      </c>
      <c r="F870" s="161">
        <v>153</v>
      </c>
      <c r="G870" s="161" t="s">
        <v>975</v>
      </c>
      <c r="H870" s="161" t="s">
        <v>63</v>
      </c>
      <c r="I870" s="161">
        <v>67</v>
      </c>
      <c r="J870" s="161" t="s">
        <v>105</v>
      </c>
      <c r="K870" s="21" t="s">
        <v>106</v>
      </c>
      <c r="L870" s="161" t="s">
        <v>3380</v>
      </c>
      <c r="M870" s="21" t="s">
        <v>107</v>
      </c>
      <c r="N870" s="161" t="s">
        <v>108</v>
      </c>
      <c r="O870" s="21" t="s">
        <v>68</v>
      </c>
      <c r="P870" s="161" t="s">
        <v>109</v>
      </c>
      <c r="Q870" s="21" t="s">
        <v>70</v>
      </c>
      <c r="R870" s="161">
        <v>70</v>
      </c>
      <c r="S870" s="161" t="s">
        <v>959</v>
      </c>
      <c r="T870" s="161" t="s">
        <v>174</v>
      </c>
      <c r="U870" s="161" t="s">
        <v>142</v>
      </c>
      <c r="V870" s="21" t="s">
        <v>74</v>
      </c>
      <c r="W870" s="21" t="s">
        <v>160</v>
      </c>
      <c r="X870" s="161" t="s">
        <v>960</v>
      </c>
      <c r="Y870" s="161">
        <v>1.554E-2</v>
      </c>
      <c r="Z870" s="161">
        <v>3.9</v>
      </c>
      <c r="AA870" s="161" t="s">
        <v>144</v>
      </c>
      <c r="AB870" s="161" t="s">
        <v>114</v>
      </c>
      <c r="AC870" s="266" t="str">
        <f>HYPERLINK("https://gcsvt.ru/svetodiodnyie-svetilniki/svt-str-m-27w-45x140-trio-s-s-zashchitoy-ot-380/","Ссылка")</f>
        <v>Ссылка</v>
      </c>
      <c r="AD870" s="167">
        <v>19584</v>
      </c>
    </row>
    <row r="871" spans="1:30" s="161" customFormat="1" ht="39.950000000000003" hidden="1" customHeight="1" outlineLevel="2" x14ac:dyDescent="0.25">
      <c r="A871" s="21"/>
      <c r="B871" s="21" t="s">
        <v>870</v>
      </c>
      <c r="C871" s="159" t="s">
        <v>976</v>
      </c>
      <c r="D871" s="161">
        <v>12420</v>
      </c>
      <c r="E871" s="161">
        <v>81</v>
      </c>
      <c r="F871" s="161">
        <v>153</v>
      </c>
      <c r="G871" s="161" t="s">
        <v>977</v>
      </c>
      <c r="H871" s="161" t="s">
        <v>63</v>
      </c>
      <c r="I871" s="161">
        <v>67</v>
      </c>
      <c r="J871" s="161" t="s">
        <v>105</v>
      </c>
      <c r="K871" s="21" t="s">
        <v>106</v>
      </c>
      <c r="L871" s="161" t="s">
        <v>3380</v>
      </c>
      <c r="M871" s="21" t="s">
        <v>107</v>
      </c>
      <c r="N871" s="161" t="s">
        <v>108</v>
      </c>
      <c r="O871" s="21" t="s">
        <v>68</v>
      </c>
      <c r="P871" s="161" t="s">
        <v>109</v>
      </c>
      <c r="Q871" s="21" t="s">
        <v>70</v>
      </c>
      <c r="R871" s="161">
        <v>70</v>
      </c>
      <c r="S871" s="161" t="s">
        <v>959</v>
      </c>
      <c r="T871" s="161" t="s">
        <v>174</v>
      </c>
      <c r="U871" s="161" t="s">
        <v>142</v>
      </c>
      <c r="V871" s="21" t="s">
        <v>74</v>
      </c>
      <c r="W871" s="21" t="s">
        <v>876</v>
      </c>
      <c r="X871" s="161" t="s">
        <v>960</v>
      </c>
      <c r="Y871" s="161">
        <v>1.554E-2</v>
      </c>
      <c r="Z871" s="161">
        <v>3.9</v>
      </c>
      <c r="AA871" s="161" t="s">
        <v>144</v>
      </c>
      <c r="AB871" s="161" t="s">
        <v>114</v>
      </c>
      <c r="AC871" s="266" t="str">
        <f>HYPERLINK("https://gcsvt.ru/svetodiodnyie-svetilniki/svt-str-m-27w-45x140-trio-s-zashchitoy-ot-380/","Ссылка")</f>
        <v>Ссылка</v>
      </c>
      <c r="AD871" s="167">
        <v>19584</v>
      </c>
    </row>
    <row r="872" spans="1:30" s="161" customFormat="1" ht="39.950000000000003" hidden="1" customHeight="1" outlineLevel="2" x14ac:dyDescent="0.25">
      <c r="A872" s="21"/>
      <c r="B872" s="21" t="s">
        <v>870</v>
      </c>
      <c r="C872" s="159" t="s">
        <v>978</v>
      </c>
      <c r="D872" s="161">
        <v>12420</v>
      </c>
      <c r="E872" s="161">
        <v>81</v>
      </c>
      <c r="F872" s="161">
        <v>153</v>
      </c>
      <c r="G872" s="161" t="s">
        <v>979</v>
      </c>
      <c r="H872" s="161" t="s">
        <v>177</v>
      </c>
      <c r="I872" s="161">
        <v>67</v>
      </c>
      <c r="J872" s="161" t="s">
        <v>105</v>
      </c>
      <c r="K872" s="21" t="s">
        <v>106</v>
      </c>
      <c r="L872" s="161" t="s">
        <v>3380</v>
      </c>
      <c r="M872" s="21" t="s">
        <v>107</v>
      </c>
      <c r="N872" s="161" t="s">
        <v>108</v>
      </c>
      <c r="O872" s="21" t="s">
        <v>68</v>
      </c>
      <c r="P872" s="161" t="s">
        <v>109</v>
      </c>
      <c r="Q872" s="21" t="s">
        <v>70</v>
      </c>
      <c r="R872" s="161">
        <v>70</v>
      </c>
      <c r="S872" s="161" t="s">
        <v>959</v>
      </c>
      <c r="T872" s="161" t="s">
        <v>174</v>
      </c>
      <c r="U872" s="161" t="s">
        <v>142</v>
      </c>
      <c r="V872" s="21" t="s">
        <v>74</v>
      </c>
      <c r="W872" s="21" t="s">
        <v>876</v>
      </c>
      <c r="X872" s="161" t="s">
        <v>960</v>
      </c>
      <c r="Y872" s="161">
        <v>1.554E-2</v>
      </c>
      <c r="Z872" s="161">
        <v>3.9</v>
      </c>
      <c r="AA872" s="161" t="s">
        <v>144</v>
      </c>
      <c r="AB872" s="161" t="s">
        <v>114</v>
      </c>
      <c r="AC872" s="266" t="str">
        <f>HYPERLINK("https://gcsvt.ru/svetodiodnyie-svetilniki/SVT-STR-M-27W-20-TRIO-s-zashchitoy-ot-380/","Ссылка")</f>
        <v>Ссылка</v>
      </c>
      <c r="AD872" s="167">
        <v>19584</v>
      </c>
    </row>
    <row r="873" spans="1:30" s="161" customFormat="1" ht="39.950000000000003" hidden="1" customHeight="1" outlineLevel="2" x14ac:dyDescent="0.25">
      <c r="A873" s="21"/>
      <c r="B873" s="21" t="s">
        <v>870</v>
      </c>
      <c r="C873" s="159" t="s">
        <v>980</v>
      </c>
      <c r="D873" s="161">
        <v>12420</v>
      </c>
      <c r="E873" s="161">
        <v>81</v>
      </c>
      <c r="F873" s="161">
        <v>153</v>
      </c>
      <c r="G873" s="161" t="s">
        <v>981</v>
      </c>
      <c r="H873" s="161" t="s">
        <v>180</v>
      </c>
      <c r="I873" s="161">
        <v>67</v>
      </c>
      <c r="J873" s="161" t="s">
        <v>105</v>
      </c>
      <c r="K873" s="21" t="s">
        <v>106</v>
      </c>
      <c r="L873" s="161" t="s">
        <v>3380</v>
      </c>
      <c r="M873" s="21" t="s">
        <v>107</v>
      </c>
      <c r="N873" s="161" t="s">
        <v>108</v>
      </c>
      <c r="O873" s="21" t="s">
        <v>68</v>
      </c>
      <c r="P873" s="161" t="s">
        <v>109</v>
      </c>
      <c r="Q873" s="21" t="s">
        <v>70</v>
      </c>
      <c r="R873" s="161">
        <v>70</v>
      </c>
      <c r="S873" s="161" t="s">
        <v>959</v>
      </c>
      <c r="T873" s="161" t="s">
        <v>174</v>
      </c>
      <c r="U873" s="161" t="s">
        <v>142</v>
      </c>
      <c r="V873" s="21" t="s">
        <v>74</v>
      </c>
      <c r="W873" s="21" t="s">
        <v>876</v>
      </c>
      <c r="X873" s="161" t="s">
        <v>960</v>
      </c>
      <c r="Y873" s="161">
        <v>1.554E-2</v>
      </c>
      <c r="Z873" s="161">
        <v>3.9</v>
      </c>
      <c r="AA873" s="161" t="s">
        <v>144</v>
      </c>
      <c r="AB873" s="161" t="s">
        <v>114</v>
      </c>
      <c r="AC873" s="266" t="str">
        <f>HYPERLINK("https://gcsvt.ru/svetodiodnyie-svetilniki/SVT-STR-M-27W-35-TRIO-s-zashchitoy-ot-380/","Ссылка")</f>
        <v>Ссылка</v>
      </c>
      <c r="AD873" s="167">
        <v>19584</v>
      </c>
    </row>
    <row r="874" spans="1:30" s="161" customFormat="1" ht="39.950000000000003" hidden="1" customHeight="1" outlineLevel="2" x14ac:dyDescent="0.25">
      <c r="A874" s="21"/>
      <c r="B874" s="21" t="s">
        <v>870</v>
      </c>
      <c r="C874" s="159" t="s">
        <v>982</v>
      </c>
      <c r="D874" s="161">
        <v>12420</v>
      </c>
      <c r="E874" s="161">
        <v>81</v>
      </c>
      <c r="F874" s="161">
        <v>153</v>
      </c>
      <c r="G874" s="161" t="s">
        <v>983</v>
      </c>
      <c r="H874" s="161" t="s">
        <v>183</v>
      </c>
      <c r="I874" s="161">
        <v>67</v>
      </c>
      <c r="J874" s="161" t="s">
        <v>105</v>
      </c>
      <c r="K874" s="21" t="s">
        <v>106</v>
      </c>
      <c r="L874" s="161" t="s">
        <v>3380</v>
      </c>
      <c r="M874" s="21" t="s">
        <v>107</v>
      </c>
      <c r="N874" s="161" t="s">
        <v>108</v>
      </c>
      <c r="O874" s="21" t="s">
        <v>68</v>
      </c>
      <c r="P874" s="161" t="s">
        <v>109</v>
      </c>
      <c r="Q874" s="21" t="s">
        <v>70</v>
      </c>
      <c r="R874" s="161">
        <v>70</v>
      </c>
      <c r="S874" s="161" t="s">
        <v>959</v>
      </c>
      <c r="T874" s="161" t="s">
        <v>174</v>
      </c>
      <c r="U874" s="161" t="s">
        <v>142</v>
      </c>
      <c r="V874" s="21" t="s">
        <v>74</v>
      </c>
      <c r="W874" s="21" t="s">
        <v>876</v>
      </c>
      <c r="X874" s="161" t="s">
        <v>960</v>
      </c>
      <c r="Y874" s="161">
        <v>1.554E-2</v>
      </c>
      <c r="Z874" s="161">
        <v>3.9</v>
      </c>
      <c r="AA874" s="161" t="s">
        <v>144</v>
      </c>
      <c r="AB874" s="161" t="s">
        <v>114</v>
      </c>
      <c r="AC874" s="266" t="str">
        <f>HYPERLINK("https://gcsvt.ru/svetodiodnyie-svetilniki/SVT-STR-M-27W-65-TRIO-s-zashchitoy-ot-380/","Ссылка")</f>
        <v>Ссылка</v>
      </c>
      <c r="AD874" s="167">
        <v>19584</v>
      </c>
    </row>
    <row r="875" spans="1:30" s="161" customFormat="1" ht="39.950000000000003" hidden="1" customHeight="1" outlineLevel="2" x14ac:dyDescent="0.25">
      <c r="A875" s="21"/>
      <c r="B875" s="21" t="s">
        <v>870</v>
      </c>
      <c r="C875" s="159" t="s">
        <v>984</v>
      </c>
      <c r="D875" s="161">
        <v>12420</v>
      </c>
      <c r="E875" s="161">
        <v>81</v>
      </c>
      <c r="F875" s="161">
        <v>153</v>
      </c>
      <c r="G875" s="161" t="s">
        <v>985</v>
      </c>
      <c r="H875" s="161" t="s">
        <v>186</v>
      </c>
      <c r="I875" s="161">
        <v>67</v>
      </c>
      <c r="J875" s="161" t="s">
        <v>105</v>
      </c>
      <c r="K875" s="21" t="s">
        <v>106</v>
      </c>
      <c r="L875" s="161" t="s">
        <v>3380</v>
      </c>
      <c r="M875" s="21" t="s">
        <v>107</v>
      </c>
      <c r="N875" s="161" t="s">
        <v>108</v>
      </c>
      <c r="O875" s="21" t="s">
        <v>68</v>
      </c>
      <c r="P875" s="161" t="s">
        <v>109</v>
      </c>
      <c r="Q875" s="21" t="s">
        <v>70</v>
      </c>
      <c r="R875" s="161">
        <v>70</v>
      </c>
      <c r="S875" s="161" t="s">
        <v>959</v>
      </c>
      <c r="T875" s="161" t="s">
        <v>174</v>
      </c>
      <c r="U875" s="161" t="s">
        <v>142</v>
      </c>
      <c r="V875" s="21" t="s">
        <v>74</v>
      </c>
      <c r="W875" s="21" t="s">
        <v>876</v>
      </c>
      <c r="X875" s="161" t="s">
        <v>960</v>
      </c>
      <c r="Y875" s="161">
        <v>1.554E-2</v>
      </c>
      <c r="Z875" s="161">
        <v>3.9</v>
      </c>
      <c r="AA875" s="161" t="s">
        <v>144</v>
      </c>
      <c r="AB875" s="161" t="s">
        <v>114</v>
      </c>
      <c r="AC875" s="266" t="str">
        <f>HYPERLINK("https://gcsvt.ru/svetodiodnyie-svetilniki/svt-str-m-27w-100-trio-s-zashchitoy-ot-380/","Ссылка")</f>
        <v>Ссылка</v>
      </c>
      <c r="AD875" s="167">
        <v>19584</v>
      </c>
    </row>
    <row r="876" spans="1:30" s="161" customFormat="1" ht="39.950000000000003" hidden="1" customHeight="1" outlineLevel="2" x14ac:dyDescent="0.25">
      <c r="A876" s="21"/>
      <c r="B876" s="21" t="s">
        <v>870</v>
      </c>
      <c r="C876" s="159" t="s">
        <v>986</v>
      </c>
      <c r="D876" s="161">
        <v>12420</v>
      </c>
      <c r="E876" s="161">
        <v>81</v>
      </c>
      <c r="F876" s="161">
        <v>153</v>
      </c>
      <c r="G876" s="161" t="s">
        <v>987</v>
      </c>
      <c r="H876" s="161" t="s">
        <v>189</v>
      </c>
      <c r="I876" s="161">
        <v>67</v>
      </c>
      <c r="J876" s="161" t="s">
        <v>105</v>
      </c>
      <c r="K876" s="21" t="s">
        <v>106</v>
      </c>
      <c r="L876" s="161" t="s">
        <v>3380</v>
      </c>
      <c r="M876" s="21" t="s">
        <v>107</v>
      </c>
      <c r="N876" s="161" t="s">
        <v>108</v>
      </c>
      <c r="O876" s="21" t="s">
        <v>68</v>
      </c>
      <c r="P876" s="161" t="s">
        <v>109</v>
      </c>
      <c r="Q876" s="21" t="s">
        <v>70</v>
      </c>
      <c r="R876" s="161">
        <v>70</v>
      </c>
      <c r="S876" s="161" t="s">
        <v>959</v>
      </c>
      <c r="T876" s="161" t="s">
        <v>174</v>
      </c>
      <c r="U876" s="161" t="s">
        <v>142</v>
      </c>
      <c r="V876" s="21" t="s">
        <v>74</v>
      </c>
      <c r="W876" s="21" t="s">
        <v>876</v>
      </c>
      <c r="X876" s="161" t="s">
        <v>960</v>
      </c>
      <c r="Y876" s="161">
        <v>1.554E-2</v>
      </c>
      <c r="Z876" s="161">
        <v>3.9</v>
      </c>
      <c r="AA876" s="161" t="s">
        <v>144</v>
      </c>
      <c r="AB876" s="161" t="s">
        <v>114</v>
      </c>
      <c r="AC876" s="266" t="str">
        <f>HYPERLINK("https://gcsvt.ru/svetodiodnyie-svetilniki/svt-str-m-27w-30x120-trio-s-zashchitoy-ot-380/","Ссылка")</f>
        <v>Ссылка</v>
      </c>
      <c r="AD876" s="167">
        <v>19584</v>
      </c>
    </row>
    <row r="877" spans="1:30" s="161" customFormat="1" ht="39.950000000000003" hidden="1" customHeight="1" outlineLevel="2" x14ac:dyDescent="0.25">
      <c r="A877" s="21"/>
      <c r="B877" s="21" t="s">
        <v>870</v>
      </c>
      <c r="C877" s="159" t="s">
        <v>988</v>
      </c>
      <c r="D877" s="161">
        <v>12420</v>
      </c>
      <c r="E877" s="161">
        <v>81</v>
      </c>
      <c r="F877" s="161">
        <v>153</v>
      </c>
      <c r="G877" s="161" t="s">
        <v>989</v>
      </c>
      <c r="H877" s="161" t="s">
        <v>192</v>
      </c>
      <c r="I877" s="161">
        <v>67</v>
      </c>
      <c r="J877" s="161" t="s">
        <v>105</v>
      </c>
      <c r="K877" s="21" t="s">
        <v>106</v>
      </c>
      <c r="L877" s="161" t="s">
        <v>3380</v>
      </c>
      <c r="M877" s="21" t="s">
        <v>107</v>
      </c>
      <c r="N877" s="161" t="s">
        <v>108</v>
      </c>
      <c r="O877" s="21" t="s">
        <v>68</v>
      </c>
      <c r="P877" s="161" t="s">
        <v>109</v>
      </c>
      <c r="Q877" s="21" t="s">
        <v>70</v>
      </c>
      <c r="R877" s="161">
        <v>70</v>
      </c>
      <c r="S877" s="161" t="s">
        <v>959</v>
      </c>
      <c r="T877" s="161" t="s">
        <v>174</v>
      </c>
      <c r="U877" s="161" t="s">
        <v>142</v>
      </c>
      <c r="V877" s="21" t="s">
        <v>74</v>
      </c>
      <c r="W877" s="21" t="s">
        <v>876</v>
      </c>
      <c r="X877" s="161" t="s">
        <v>960</v>
      </c>
      <c r="Y877" s="161">
        <v>1.554E-2</v>
      </c>
      <c r="Z877" s="161">
        <v>3.9</v>
      </c>
      <c r="AA877" s="161" t="s">
        <v>144</v>
      </c>
      <c r="AB877" s="161" t="s">
        <v>114</v>
      </c>
      <c r="AC877" s="266" t="str">
        <f>HYPERLINK("https://gcsvt.ru/svetodiodnyie-svetilniki/svt-str-m-27w-vsm-trio-s-zashchitoy-ot-380/","Ссылка")</f>
        <v>Ссылка</v>
      </c>
      <c r="AD877" s="167">
        <v>19584</v>
      </c>
    </row>
    <row r="878" spans="1:30" s="161" customFormat="1" ht="39.950000000000003" hidden="1" customHeight="1" outlineLevel="2" x14ac:dyDescent="0.25">
      <c r="A878" s="21"/>
      <c r="B878" s="21" t="s">
        <v>870</v>
      </c>
      <c r="C878" s="159" t="s">
        <v>2772</v>
      </c>
      <c r="D878" s="161">
        <v>25260</v>
      </c>
      <c r="E878" s="161">
        <v>159</v>
      </c>
      <c r="F878" s="161">
        <v>158</v>
      </c>
      <c r="G878" s="161" t="s">
        <v>990</v>
      </c>
      <c r="H878" s="161" t="s">
        <v>63</v>
      </c>
      <c r="I878" s="161">
        <v>67</v>
      </c>
      <c r="J878" s="161" t="s">
        <v>105</v>
      </c>
      <c r="K878" s="21" t="s">
        <v>106</v>
      </c>
      <c r="L878" s="161" t="s">
        <v>3380</v>
      </c>
      <c r="M878" s="21" t="s">
        <v>568</v>
      </c>
      <c r="N878" s="161" t="s">
        <v>108</v>
      </c>
      <c r="O878" s="21" t="s">
        <v>68</v>
      </c>
      <c r="P878" s="161" t="s">
        <v>109</v>
      </c>
      <c r="Q878" s="21" t="s">
        <v>70</v>
      </c>
      <c r="R878" s="161">
        <v>70</v>
      </c>
      <c r="S878" s="161" t="s">
        <v>991</v>
      </c>
      <c r="T878" s="161" t="s">
        <v>174</v>
      </c>
      <c r="U878" s="161" t="s">
        <v>142</v>
      </c>
      <c r="V878" s="21" t="s">
        <v>74</v>
      </c>
      <c r="W878" s="21" t="s">
        <v>160</v>
      </c>
      <c r="X878" s="161" t="s">
        <v>992</v>
      </c>
      <c r="Y878" s="161">
        <v>1.554E-2</v>
      </c>
      <c r="Z878" s="161">
        <v>5.4</v>
      </c>
      <c r="AA878" s="161" t="s">
        <v>144</v>
      </c>
      <c r="AB878" s="161" t="s">
        <v>114</v>
      </c>
      <c r="AC878" s="266" t="str">
        <f>HYPERLINK("https://gcsvt.ru/svetodiodnyie-svetilniki/svt-str-m-53w-45x140-trio-s/","Ссылка")</f>
        <v>Ссылка</v>
      </c>
      <c r="AD878" s="167">
        <v>26010</v>
      </c>
    </row>
    <row r="879" spans="1:30" s="161" customFormat="1" ht="39.950000000000003" hidden="1" customHeight="1" outlineLevel="2" x14ac:dyDescent="0.25">
      <c r="A879" s="21"/>
      <c r="B879" s="21" t="s">
        <v>870</v>
      </c>
      <c r="C879" s="159" t="s">
        <v>993</v>
      </c>
      <c r="D879" s="161">
        <v>25260</v>
      </c>
      <c r="E879" s="161">
        <v>159</v>
      </c>
      <c r="F879" s="161">
        <v>158</v>
      </c>
      <c r="G879" s="161" t="s">
        <v>994</v>
      </c>
      <c r="H879" s="161" t="s">
        <v>63</v>
      </c>
      <c r="I879" s="161">
        <v>67</v>
      </c>
      <c r="J879" s="161" t="s">
        <v>105</v>
      </c>
      <c r="K879" s="21" t="s">
        <v>106</v>
      </c>
      <c r="L879" s="161" t="s">
        <v>3380</v>
      </c>
      <c r="M879" s="21" t="s">
        <v>568</v>
      </c>
      <c r="N879" s="161" t="s">
        <v>108</v>
      </c>
      <c r="O879" s="21" t="s">
        <v>68</v>
      </c>
      <c r="P879" s="161" t="s">
        <v>109</v>
      </c>
      <c r="Q879" s="21" t="s">
        <v>70</v>
      </c>
      <c r="R879" s="161">
        <v>70</v>
      </c>
      <c r="S879" s="161" t="s">
        <v>991</v>
      </c>
      <c r="T879" s="161" t="s">
        <v>174</v>
      </c>
      <c r="U879" s="161" t="s">
        <v>142</v>
      </c>
      <c r="V879" s="21" t="s">
        <v>74</v>
      </c>
      <c r="W879" s="21" t="s">
        <v>762</v>
      </c>
      <c r="X879" s="161" t="s">
        <v>995</v>
      </c>
      <c r="Y879" s="161">
        <v>1.554E-2</v>
      </c>
      <c r="Z879" s="161">
        <v>5.4</v>
      </c>
      <c r="AA879" s="161" t="s">
        <v>144</v>
      </c>
      <c r="AB879" s="161" t="s">
        <v>114</v>
      </c>
      <c r="AC879" s="266" t="str">
        <f>HYPERLINK("https://gcsvt.ru/svetodiodnyie-svetilniki/svt-str-m-53w-45x140-trio/","Ссылка")</f>
        <v>Ссылка</v>
      </c>
      <c r="AD879" s="167">
        <v>26010</v>
      </c>
    </row>
    <row r="880" spans="1:30" s="161" customFormat="1" ht="39.950000000000003" hidden="1" customHeight="1" outlineLevel="2" x14ac:dyDescent="0.25">
      <c r="A880" s="21"/>
      <c r="B880" s="21" t="s">
        <v>870</v>
      </c>
      <c r="C880" s="159" t="s">
        <v>996</v>
      </c>
      <c r="D880" s="161">
        <v>25260</v>
      </c>
      <c r="E880" s="161">
        <v>159</v>
      </c>
      <c r="F880" s="161">
        <v>158</v>
      </c>
      <c r="G880" s="161" t="s">
        <v>997</v>
      </c>
      <c r="H880" s="161" t="s">
        <v>177</v>
      </c>
      <c r="I880" s="161">
        <v>67</v>
      </c>
      <c r="J880" s="161" t="s">
        <v>105</v>
      </c>
      <c r="K880" s="21" t="s">
        <v>106</v>
      </c>
      <c r="L880" s="161" t="s">
        <v>3380</v>
      </c>
      <c r="M880" s="21" t="s">
        <v>568</v>
      </c>
      <c r="N880" s="161" t="s">
        <v>108</v>
      </c>
      <c r="O880" s="21" t="s">
        <v>68</v>
      </c>
      <c r="P880" s="161" t="s">
        <v>109</v>
      </c>
      <c r="Q880" s="21" t="s">
        <v>70</v>
      </c>
      <c r="R880" s="161">
        <v>70</v>
      </c>
      <c r="S880" s="161" t="s">
        <v>991</v>
      </c>
      <c r="T880" s="161" t="s">
        <v>174</v>
      </c>
      <c r="U880" s="161" t="s">
        <v>142</v>
      </c>
      <c r="V880" s="21" t="s">
        <v>74</v>
      </c>
      <c r="W880" s="21" t="s">
        <v>762</v>
      </c>
      <c r="X880" s="161" t="s">
        <v>995</v>
      </c>
      <c r="Y880" s="161">
        <v>1.554E-2</v>
      </c>
      <c r="Z880" s="161">
        <v>5.4</v>
      </c>
      <c r="AA880" s="161" t="s">
        <v>144</v>
      </c>
      <c r="AB880" s="161" t="s">
        <v>114</v>
      </c>
      <c r="AC880" s="266" t="str">
        <f>HYPERLINK("https://gcsvt.ru/svetodiodnyie-svetilniki/SVT-STR-M-53W-20-TRIO/","Ссылка")</f>
        <v>Ссылка</v>
      </c>
      <c r="AD880" s="167">
        <v>26010</v>
      </c>
    </row>
    <row r="881" spans="1:30" s="161" customFormat="1" ht="39.950000000000003" hidden="1" customHeight="1" outlineLevel="2" x14ac:dyDescent="0.25">
      <c r="A881" s="21"/>
      <c r="B881" s="21" t="s">
        <v>870</v>
      </c>
      <c r="C881" s="159" t="s">
        <v>998</v>
      </c>
      <c r="D881" s="161">
        <v>25260</v>
      </c>
      <c r="E881" s="161">
        <v>159</v>
      </c>
      <c r="F881" s="161">
        <v>158</v>
      </c>
      <c r="G881" s="161" t="s">
        <v>999</v>
      </c>
      <c r="H881" s="161" t="s">
        <v>180</v>
      </c>
      <c r="I881" s="161">
        <v>67</v>
      </c>
      <c r="J881" s="161" t="s">
        <v>105</v>
      </c>
      <c r="K881" s="21" t="s">
        <v>106</v>
      </c>
      <c r="L881" s="161" t="s">
        <v>3380</v>
      </c>
      <c r="M881" s="21" t="s">
        <v>568</v>
      </c>
      <c r="N881" s="161" t="s">
        <v>108</v>
      </c>
      <c r="O881" s="21" t="s">
        <v>68</v>
      </c>
      <c r="P881" s="161" t="s">
        <v>109</v>
      </c>
      <c r="Q881" s="21" t="s">
        <v>70</v>
      </c>
      <c r="R881" s="161">
        <v>70</v>
      </c>
      <c r="S881" s="161" t="s">
        <v>991</v>
      </c>
      <c r="T881" s="161" t="s">
        <v>174</v>
      </c>
      <c r="U881" s="161" t="s">
        <v>142</v>
      </c>
      <c r="V881" s="21" t="s">
        <v>74</v>
      </c>
      <c r="W881" s="21" t="s">
        <v>762</v>
      </c>
      <c r="X881" s="161" t="s">
        <v>995</v>
      </c>
      <c r="Y881" s="161">
        <v>1.554E-2</v>
      </c>
      <c r="Z881" s="161">
        <v>5.4</v>
      </c>
      <c r="AA881" s="161" t="s">
        <v>144</v>
      </c>
      <c r="AB881" s="161" t="s">
        <v>114</v>
      </c>
      <c r="AC881" s="266" t="str">
        <f>HYPERLINK("https://gcsvt.ru/svetodiodnyie-svetilniki/SVT-STR-M-53W-35-TRIO/","Ссылка")</f>
        <v>Ссылка</v>
      </c>
      <c r="AD881" s="167">
        <v>26010</v>
      </c>
    </row>
    <row r="882" spans="1:30" s="161" customFormat="1" ht="39.950000000000003" hidden="1" customHeight="1" outlineLevel="2" x14ac:dyDescent="0.25">
      <c r="A882" s="21"/>
      <c r="B882" s="21" t="s">
        <v>870</v>
      </c>
      <c r="C882" s="159" t="s">
        <v>1000</v>
      </c>
      <c r="D882" s="161">
        <v>25260</v>
      </c>
      <c r="E882" s="161">
        <v>159</v>
      </c>
      <c r="F882" s="161">
        <v>158</v>
      </c>
      <c r="G882" s="161" t="s">
        <v>1001</v>
      </c>
      <c r="H882" s="161" t="s">
        <v>183</v>
      </c>
      <c r="I882" s="161">
        <v>67</v>
      </c>
      <c r="J882" s="161" t="s">
        <v>105</v>
      </c>
      <c r="K882" s="21" t="s">
        <v>106</v>
      </c>
      <c r="L882" s="161" t="s">
        <v>3380</v>
      </c>
      <c r="M882" s="21" t="s">
        <v>568</v>
      </c>
      <c r="N882" s="161" t="s">
        <v>108</v>
      </c>
      <c r="O882" s="21" t="s">
        <v>68</v>
      </c>
      <c r="P882" s="161" t="s">
        <v>109</v>
      </c>
      <c r="Q882" s="21" t="s">
        <v>70</v>
      </c>
      <c r="R882" s="161">
        <v>70</v>
      </c>
      <c r="S882" s="161" t="s">
        <v>991</v>
      </c>
      <c r="T882" s="161" t="s">
        <v>174</v>
      </c>
      <c r="U882" s="161" t="s">
        <v>142</v>
      </c>
      <c r="V882" s="21" t="s">
        <v>74</v>
      </c>
      <c r="W882" s="21" t="s">
        <v>762</v>
      </c>
      <c r="X882" s="161" t="s">
        <v>995</v>
      </c>
      <c r="Y882" s="161">
        <v>1.554E-2</v>
      </c>
      <c r="Z882" s="161">
        <v>5.4</v>
      </c>
      <c r="AA882" s="161" t="s">
        <v>144</v>
      </c>
      <c r="AB882" s="161" t="s">
        <v>114</v>
      </c>
      <c r="AC882" s="266" t="str">
        <f>HYPERLINK("https://gcsvt.ru/svetodiodnyie-svetilniki/SVT-STR-M-53W-65-TRIO/","Ссылка")</f>
        <v>Ссылка</v>
      </c>
      <c r="AD882" s="167">
        <v>26010</v>
      </c>
    </row>
    <row r="883" spans="1:30" s="161" customFormat="1" ht="39.950000000000003" hidden="1" customHeight="1" outlineLevel="2" x14ac:dyDescent="0.25">
      <c r="A883" s="21"/>
      <c r="B883" s="21" t="s">
        <v>870</v>
      </c>
      <c r="C883" s="159" t="s">
        <v>1002</v>
      </c>
      <c r="D883" s="161">
        <v>25260</v>
      </c>
      <c r="E883" s="161">
        <v>159</v>
      </c>
      <c r="F883" s="161">
        <v>158</v>
      </c>
      <c r="G883" s="161" t="s">
        <v>1003</v>
      </c>
      <c r="H883" s="161" t="s">
        <v>186</v>
      </c>
      <c r="I883" s="161">
        <v>67</v>
      </c>
      <c r="J883" s="161" t="s">
        <v>105</v>
      </c>
      <c r="K883" s="21" t="s">
        <v>106</v>
      </c>
      <c r="L883" s="161" t="s">
        <v>3380</v>
      </c>
      <c r="M883" s="21" t="s">
        <v>568</v>
      </c>
      <c r="N883" s="161" t="s">
        <v>108</v>
      </c>
      <c r="O883" s="21" t="s">
        <v>68</v>
      </c>
      <c r="P883" s="161" t="s">
        <v>109</v>
      </c>
      <c r="Q883" s="21" t="s">
        <v>70</v>
      </c>
      <c r="R883" s="161">
        <v>70</v>
      </c>
      <c r="S883" s="161" t="s">
        <v>991</v>
      </c>
      <c r="T883" s="161" t="s">
        <v>174</v>
      </c>
      <c r="U883" s="161" t="s">
        <v>142</v>
      </c>
      <c r="V883" s="21" t="s">
        <v>74</v>
      </c>
      <c r="W883" s="21" t="s">
        <v>762</v>
      </c>
      <c r="X883" s="161" t="s">
        <v>995</v>
      </c>
      <c r="Y883" s="161">
        <v>1.554E-2</v>
      </c>
      <c r="Z883" s="161">
        <v>5.4</v>
      </c>
      <c r="AA883" s="161" t="s">
        <v>144</v>
      </c>
      <c r="AB883" s="161" t="s">
        <v>114</v>
      </c>
      <c r="AC883" s="266" t="str">
        <f>HYPERLINK("https://gcsvt.ru/svetodiodnyie-svetilniki/svt-str-m-53w-100-trio/","Ссылка")</f>
        <v>Ссылка</v>
      </c>
      <c r="AD883" s="167">
        <v>26010</v>
      </c>
    </row>
    <row r="884" spans="1:30" s="161" customFormat="1" ht="39.950000000000003" hidden="1" customHeight="1" outlineLevel="2" x14ac:dyDescent="0.25">
      <c r="A884" s="21"/>
      <c r="B884" s="21" t="s">
        <v>870</v>
      </c>
      <c r="C884" s="159" t="s">
        <v>1004</v>
      </c>
      <c r="D884" s="161">
        <v>25260</v>
      </c>
      <c r="E884" s="161">
        <v>159</v>
      </c>
      <c r="F884" s="161">
        <v>158</v>
      </c>
      <c r="G884" s="161" t="s">
        <v>1005</v>
      </c>
      <c r="H884" s="161" t="s">
        <v>189</v>
      </c>
      <c r="I884" s="161">
        <v>67</v>
      </c>
      <c r="J884" s="161" t="s">
        <v>105</v>
      </c>
      <c r="K884" s="21" t="s">
        <v>106</v>
      </c>
      <c r="L884" s="161" t="s">
        <v>3380</v>
      </c>
      <c r="M884" s="21" t="s">
        <v>568</v>
      </c>
      <c r="N884" s="161" t="s">
        <v>108</v>
      </c>
      <c r="O884" s="21" t="s">
        <v>68</v>
      </c>
      <c r="P884" s="161" t="s">
        <v>109</v>
      </c>
      <c r="Q884" s="21" t="s">
        <v>70</v>
      </c>
      <c r="R884" s="161">
        <v>70</v>
      </c>
      <c r="S884" s="161" t="s">
        <v>991</v>
      </c>
      <c r="T884" s="161" t="s">
        <v>174</v>
      </c>
      <c r="U884" s="161" t="s">
        <v>142</v>
      </c>
      <c r="V884" s="21" t="s">
        <v>74</v>
      </c>
      <c r="W884" s="21" t="s">
        <v>762</v>
      </c>
      <c r="X884" s="161" t="s">
        <v>995</v>
      </c>
      <c r="Y884" s="161">
        <v>1.554E-2</v>
      </c>
      <c r="Z884" s="161">
        <v>5.4</v>
      </c>
      <c r="AA884" s="161" t="s">
        <v>144</v>
      </c>
      <c r="AB884" s="161" t="s">
        <v>114</v>
      </c>
      <c r="AC884" s="266" t="str">
        <f>HYPERLINK("https://gcsvt.ru/svetodiodnyie-svetilniki/svt-str-m-53w-30x120-trio/","Ссылка")</f>
        <v>Ссылка</v>
      </c>
      <c r="AD884" s="167">
        <v>26010</v>
      </c>
    </row>
    <row r="885" spans="1:30" s="161" customFormat="1" ht="39.950000000000003" hidden="1" customHeight="1" outlineLevel="2" x14ac:dyDescent="0.25">
      <c r="A885" s="21"/>
      <c r="B885" s="21" t="s">
        <v>870</v>
      </c>
      <c r="C885" s="159" t="s">
        <v>1006</v>
      </c>
      <c r="D885" s="161">
        <v>25260</v>
      </c>
      <c r="E885" s="161">
        <v>159</v>
      </c>
      <c r="F885" s="161">
        <v>158</v>
      </c>
      <c r="G885" s="161" t="s">
        <v>1007</v>
      </c>
      <c r="H885" s="161" t="s">
        <v>192</v>
      </c>
      <c r="I885" s="161">
        <v>67</v>
      </c>
      <c r="J885" s="161" t="s">
        <v>105</v>
      </c>
      <c r="K885" s="21" t="s">
        <v>106</v>
      </c>
      <c r="L885" s="161" t="s">
        <v>3380</v>
      </c>
      <c r="M885" s="21" t="s">
        <v>568</v>
      </c>
      <c r="N885" s="161" t="s">
        <v>108</v>
      </c>
      <c r="O885" s="21" t="s">
        <v>68</v>
      </c>
      <c r="P885" s="161" t="s">
        <v>109</v>
      </c>
      <c r="Q885" s="21" t="s">
        <v>70</v>
      </c>
      <c r="R885" s="161">
        <v>70</v>
      </c>
      <c r="S885" s="161" t="s">
        <v>991</v>
      </c>
      <c r="T885" s="161" t="s">
        <v>174</v>
      </c>
      <c r="U885" s="161" t="s">
        <v>142</v>
      </c>
      <c r="V885" s="21" t="s">
        <v>74</v>
      </c>
      <c r="W885" s="21" t="s">
        <v>762</v>
      </c>
      <c r="X885" s="161" t="s">
        <v>995</v>
      </c>
      <c r="Y885" s="161">
        <v>1.554E-2</v>
      </c>
      <c r="Z885" s="161">
        <v>5.4</v>
      </c>
      <c r="AA885" s="161" t="s">
        <v>144</v>
      </c>
      <c r="AB885" s="161" t="s">
        <v>114</v>
      </c>
      <c r="AC885" s="266" t="str">
        <f>HYPERLINK("https://gcsvt.ru/svetodiodnyie-svetilniki/svt-str-m-53w-vsm-trio/","Ссылка")</f>
        <v>Ссылка</v>
      </c>
      <c r="AD885" s="167">
        <v>26010</v>
      </c>
    </row>
    <row r="886" spans="1:30" s="161" customFormat="1" ht="39.950000000000003" hidden="1" customHeight="1" outlineLevel="2" x14ac:dyDescent="0.25">
      <c r="A886" s="21"/>
      <c r="B886" s="21" t="s">
        <v>870</v>
      </c>
      <c r="C886" s="159" t="s">
        <v>2773</v>
      </c>
      <c r="D886" s="161">
        <v>25260</v>
      </c>
      <c r="E886" s="161">
        <v>159</v>
      </c>
      <c r="F886" s="161">
        <v>158</v>
      </c>
      <c r="G886" s="161" t="s">
        <v>1008</v>
      </c>
      <c r="H886" s="161" t="s">
        <v>63</v>
      </c>
      <c r="I886" s="161">
        <v>67</v>
      </c>
      <c r="J886" s="161" t="s">
        <v>105</v>
      </c>
      <c r="K886" s="21" t="s">
        <v>106</v>
      </c>
      <c r="L886" s="161" t="s">
        <v>3380</v>
      </c>
      <c r="M886" s="21" t="s">
        <v>107</v>
      </c>
      <c r="N886" s="161" t="s">
        <v>108</v>
      </c>
      <c r="O886" s="21" t="s">
        <v>68</v>
      </c>
      <c r="P886" s="161" t="s">
        <v>109</v>
      </c>
      <c r="Q886" s="21" t="s">
        <v>70</v>
      </c>
      <c r="R886" s="161">
        <v>70</v>
      </c>
      <c r="S886" s="161" t="s">
        <v>991</v>
      </c>
      <c r="T886" s="161" t="s">
        <v>174</v>
      </c>
      <c r="U886" s="161" t="s">
        <v>142</v>
      </c>
      <c r="V886" s="21" t="s">
        <v>74</v>
      </c>
      <c r="W886" s="21" t="s">
        <v>160</v>
      </c>
      <c r="X886" s="161" t="s">
        <v>992</v>
      </c>
      <c r="Y886" s="161">
        <v>1.554E-2</v>
      </c>
      <c r="Z886" s="161">
        <v>5.4</v>
      </c>
      <c r="AA886" s="161" t="s">
        <v>144</v>
      </c>
      <c r="AB886" s="161" t="s">
        <v>114</v>
      </c>
      <c r="AC886" s="266" t="str">
        <f>HYPERLINK("https://gcsvt.ru/svetodiodnyie-svetilniki/svt-str-m-53w-45x140-trio-s-s-zashchitoy-ot-380/","Ссылка")</f>
        <v>Ссылка</v>
      </c>
      <c r="AD886" s="167">
        <v>27234</v>
      </c>
    </row>
    <row r="887" spans="1:30" s="161" customFormat="1" ht="39.950000000000003" hidden="1" customHeight="1" outlineLevel="2" x14ac:dyDescent="0.25">
      <c r="A887" s="21"/>
      <c r="B887" s="21" t="s">
        <v>870</v>
      </c>
      <c r="C887" s="159" t="s">
        <v>1009</v>
      </c>
      <c r="D887" s="161">
        <v>25260</v>
      </c>
      <c r="E887" s="161">
        <v>159</v>
      </c>
      <c r="F887" s="161">
        <v>158</v>
      </c>
      <c r="G887" s="161" t="s">
        <v>1010</v>
      </c>
      <c r="H887" s="161" t="s">
        <v>63</v>
      </c>
      <c r="I887" s="161">
        <v>67</v>
      </c>
      <c r="J887" s="161" t="s">
        <v>105</v>
      </c>
      <c r="K887" s="21" t="s">
        <v>106</v>
      </c>
      <c r="L887" s="161" t="s">
        <v>3380</v>
      </c>
      <c r="M887" s="21" t="s">
        <v>107</v>
      </c>
      <c r="N887" s="161" t="s">
        <v>108</v>
      </c>
      <c r="O887" s="21" t="s">
        <v>68</v>
      </c>
      <c r="P887" s="161" t="s">
        <v>109</v>
      </c>
      <c r="Q887" s="21" t="s">
        <v>70</v>
      </c>
      <c r="R887" s="161">
        <v>70</v>
      </c>
      <c r="S887" s="161" t="s">
        <v>991</v>
      </c>
      <c r="T887" s="161" t="s">
        <v>174</v>
      </c>
      <c r="U887" s="161" t="s">
        <v>142</v>
      </c>
      <c r="V887" s="21" t="s">
        <v>74</v>
      </c>
      <c r="W887" s="21" t="s">
        <v>762</v>
      </c>
      <c r="X887" s="161" t="s">
        <v>995</v>
      </c>
      <c r="Y887" s="161">
        <v>1.554E-2</v>
      </c>
      <c r="Z887" s="161">
        <v>5.4</v>
      </c>
      <c r="AA887" s="161" t="s">
        <v>144</v>
      </c>
      <c r="AB887" s="161" t="s">
        <v>114</v>
      </c>
      <c r="AC887" s="266" t="str">
        <f>HYPERLINK("https://gcsvt.ru/svetodiodnyie-svetilniki/svt-str-m-53w-45x140-trio-s-zashchitoy-ot-380/","Ссылка")</f>
        <v>Ссылка</v>
      </c>
      <c r="AD887" s="167">
        <v>27234</v>
      </c>
    </row>
    <row r="888" spans="1:30" s="161" customFormat="1" ht="39.950000000000003" hidden="1" customHeight="1" outlineLevel="2" x14ac:dyDescent="0.25">
      <c r="A888" s="21"/>
      <c r="B888" s="21" t="s">
        <v>870</v>
      </c>
      <c r="C888" s="159" t="s">
        <v>1011</v>
      </c>
      <c r="D888" s="161">
        <v>25260</v>
      </c>
      <c r="E888" s="161">
        <v>159</v>
      </c>
      <c r="F888" s="161">
        <v>158</v>
      </c>
      <c r="G888" s="161" t="s">
        <v>1012</v>
      </c>
      <c r="H888" s="161" t="s">
        <v>177</v>
      </c>
      <c r="I888" s="161">
        <v>67</v>
      </c>
      <c r="J888" s="161" t="s">
        <v>105</v>
      </c>
      <c r="K888" s="21" t="s">
        <v>106</v>
      </c>
      <c r="L888" s="161" t="s">
        <v>3380</v>
      </c>
      <c r="M888" s="21" t="s">
        <v>107</v>
      </c>
      <c r="N888" s="161" t="s">
        <v>108</v>
      </c>
      <c r="O888" s="21" t="s">
        <v>68</v>
      </c>
      <c r="P888" s="161" t="s">
        <v>109</v>
      </c>
      <c r="Q888" s="21" t="s">
        <v>70</v>
      </c>
      <c r="R888" s="161">
        <v>70</v>
      </c>
      <c r="S888" s="161" t="s">
        <v>991</v>
      </c>
      <c r="T888" s="161" t="s">
        <v>174</v>
      </c>
      <c r="U888" s="161" t="s">
        <v>142</v>
      </c>
      <c r="V888" s="21" t="s">
        <v>74</v>
      </c>
      <c r="W888" s="21" t="s">
        <v>762</v>
      </c>
      <c r="X888" s="161" t="s">
        <v>995</v>
      </c>
      <c r="Y888" s="161">
        <v>1.554E-2</v>
      </c>
      <c r="Z888" s="161">
        <v>5.4</v>
      </c>
      <c r="AA888" s="161" t="s">
        <v>144</v>
      </c>
      <c r="AB888" s="161" t="s">
        <v>114</v>
      </c>
      <c r="AC888" s="266" t="str">
        <f>HYPERLINK("https://gcsvt.ru/svetodiodnyie-svetilniki/SVT-STR-M-53W-20-TRIO-s-zashchitoy-ot-380/","Ссылка")</f>
        <v>Ссылка</v>
      </c>
      <c r="AD888" s="167">
        <v>27234</v>
      </c>
    </row>
    <row r="889" spans="1:30" s="161" customFormat="1" ht="39.950000000000003" hidden="1" customHeight="1" outlineLevel="2" x14ac:dyDescent="0.25">
      <c r="A889" s="21"/>
      <c r="B889" s="21" t="s">
        <v>870</v>
      </c>
      <c r="C889" s="159" t="s">
        <v>1013</v>
      </c>
      <c r="D889" s="161">
        <v>25260</v>
      </c>
      <c r="E889" s="161">
        <v>159</v>
      </c>
      <c r="F889" s="161">
        <v>158</v>
      </c>
      <c r="G889" s="161" t="s">
        <v>1014</v>
      </c>
      <c r="H889" s="161" t="s">
        <v>180</v>
      </c>
      <c r="I889" s="161">
        <v>67</v>
      </c>
      <c r="J889" s="161" t="s">
        <v>105</v>
      </c>
      <c r="K889" s="21" t="s">
        <v>106</v>
      </c>
      <c r="L889" s="161" t="s">
        <v>3380</v>
      </c>
      <c r="M889" s="21" t="s">
        <v>107</v>
      </c>
      <c r="N889" s="161" t="s">
        <v>108</v>
      </c>
      <c r="O889" s="21" t="s">
        <v>68</v>
      </c>
      <c r="P889" s="161" t="s">
        <v>109</v>
      </c>
      <c r="Q889" s="21" t="s">
        <v>70</v>
      </c>
      <c r="R889" s="161">
        <v>70</v>
      </c>
      <c r="S889" s="161" t="s">
        <v>991</v>
      </c>
      <c r="T889" s="161" t="s">
        <v>174</v>
      </c>
      <c r="U889" s="161" t="s">
        <v>142</v>
      </c>
      <c r="V889" s="21" t="s">
        <v>74</v>
      </c>
      <c r="W889" s="21" t="s">
        <v>762</v>
      </c>
      <c r="X889" s="161" t="s">
        <v>995</v>
      </c>
      <c r="Y889" s="161">
        <v>1.554E-2</v>
      </c>
      <c r="Z889" s="161">
        <v>5.4</v>
      </c>
      <c r="AA889" s="161" t="s">
        <v>144</v>
      </c>
      <c r="AB889" s="161" t="s">
        <v>114</v>
      </c>
      <c r="AC889" s="266" t="str">
        <f>HYPERLINK("https://gcsvt.ru/svetodiodnyie-svetilniki/SVT-STR-M-53W-35-TRIO-s-zashchitoy-ot-380/","Ссылка")</f>
        <v>Ссылка</v>
      </c>
      <c r="AD889" s="167">
        <v>27234</v>
      </c>
    </row>
    <row r="890" spans="1:30" s="161" customFormat="1" ht="39.950000000000003" hidden="1" customHeight="1" outlineLevel="2" x14ac:dyDescent="0.25">
      <c r="A890" s="21"/>
      <c r="B890" s="21" t="s">
        <v>870</v>
      </c>
      <c r="C890" s="159" t="s">
        <v>1015</v>
      </c>
      <c r="D890" s="161">
        <v>25260</v>
      </c>
      <c r="E890" s="161">
        <v>159</v>
      </c>
      <c r="F890" s="161">
        <v>158</v>
      </c>
      <c r="G890" s="161" t="s">
        <v>1016</v>
      </c>
      <c r="H890" s="161" t="s">
        <v>183</v>
      </c>
      <c r="I890" s="161">
        <v>67</v>
      </c>
      <c r="J890" s="161" t="s">
        <v>105</v>
      </c>
      <c r="K890" s="21" t="s">
        <v>106</v>
      </c>
      <c r="L890" s="161" t="s">
        <v>3380</v>
      </c>
      <c r="M890" s="21" t="s">
        <v>107</v>
      </c>
      <c r="N890" s="161" t="s">
        <v>108</v>
      </c>
      <c r="O890" s="21" t="s">
        <v>68</v>
      </c>
      <c r="P890" s="161" t="s">
        <v>109</v>
      </c>
      <c r="Q890" s="21" t="s">
        <v>70</v>
      </c>
      <c r="R890" s="161">
        <v>70</v>
      </c>
      <c r="S890" s="161" t="s">
        <v>991</v>
      </c>
      <c r="T890" s="161" t="s">
        <v>174</v>
      </c>
      <c r="U890" s="161" t="s">
        <v>142</v>
      </c>
      <c r="V890" s="21" t="s">
        <v>74</v>
      </c>
      <c r="W890" s="21" t="s">
        <v>762</v>
      </c>
      <c r="X890" s="161" t="s">
        <v>995</v>
      </c>
      <c r="Y890" s="161">
        <v>1.554E-2</v>
      </c>
      <c r="Z890" s="161">
        <v>5.4</v>
      </c>
      <c r="AA890" s="161" t="s">
        <v>144</v>
      </c>
      <c r="AB890" s="161" t="s">
        <v>114</v>
      </c>
      <c r="AC890" s="266" t="str">
        <f>HYPERLINK("https://gcsvt.ru/svetodiodnyie-svetilniki/SVT-STR-M-53W-65-TRIO-s-zashchitoy-ot-380/","Ссылка")</f>
        <v>Ссылка</v>
      </c>
      <c r="AD890" s="167">
        <v>27234</v>
      </c>
    </row>
    <row r="891" spans="1:30" s="161" customFormat="1" ht="39.950000000000003" hidden="1" customHeight="1" outlineLevel="2" x14ac:dyDescent="0.25">
      <c r="A891" s="21"/>
      <c r="B891" s="21" t="s">
        <v>870</v>
      </c>
      <c r="C891" s="159" t="s">
        <v>1017</v>
      </c>
      <c r="D891" s="161">
        <v>25260</v>
      </c>
      <c r="E891" s="161">
        <v>159</v>
      </c>
      <c r="F891" s="161">
        <v>158</v>
      </c>
      <c r="G891" s="161" t="s">
        <v>1018</v>
      </c>
      <c r="H891" s="161" t="s">
        <v>186</v>
      </c>
      <c r="I891" s="161">
        <v>67</v>
      </c>
      <c r="J891" s="161" t="s">
        <v>105</v>
      </c>
      <c r="K891" s="21" t="s">
        <v>106</v>
      </c>
      <c r="L891" s="161" t="s">
        <v>3380</v>
      </c>
      <c r="M891" s="21" t="s">
        <v>107</v>
      </c>
      <c r="N891" s="161" t="s">
        <v>108</v>
      </c>
      <c r="O891" s="21" t="s">
        <v>68</v>
      </c>
      <c r="P891" s="161" t="s">
        <v>109</v>
      </c>
      <c r="Q891" s="21" t="s">
        <v>70</v>
      </c>
      <c r="R891" s="161">
        <v>70</v>
      </c>
      <c r="S891" s="161" t="s">
        <v>991</v>
      </c>
      <c r="T891" s="161" t="s">
        <v>174</v>
      </c>
      <c r="U891" s="161" t="s">
        <v>142</v>
      </c>
      <c r="V891" s="21" t="s">
        <v>74</v>
      </c>
      <c r="W891" s="21" t="s">
        <v>762</v>
      </c>
      <c r="X891" s="161" t="s">
        <v>995</v>
      </c>
      <c r="Y891" s="161">
        <v>1.554E-2</v>
      </c>
      <c r="Z891" s="161">
        <v>5.4</v>
      </c>
      <c r="AA891" s="161" t="s">
        <v>144</v>
      </c>
      <c r="AB891" s="161" t="s">
        <v>114</v>
      </c>
      <c r="AC891" s="266" t="str">
        <f>HYPERLINK("https://gcsvt.ru/svetodiodnyie-svetilniki/svt-str-m-53w-100-trio-s-zashchitoy-ot-380/","Ссылка")</f>
        <v>Ссылка</v>
      </c>
      <c r="AD891" s="167">
        <v>27234</v>
      </c>
    </row>
    <row r="892" spans="1:30" s="161" customFormat="1" ht="39.950000000000003" hidden="1" customHeight="1" outlineLevel="2" x14ac:dyDescent="0.25">
      <c r="A892" s="21"/>
      <c r="B892" s="21" t="s">
        <v>870</v>
      </c>
      <c r="C892" s="159" t="s">
        <v>1019</v>
      </c>
      <c r="D892" s="161">
        <v>25260</v>
      </c>
      <c r="E892" s="161">
        <v>159</v>
      </c>
      <c r="F892" s="161">
        <v>158</v>
      </c>
      <c r="G892" s="161" t="s">
        <v>1020</v>
      </c>
      <c r="H892" s="161" t="s">
        <v>189</v>
      </c>
      <c r="I892" s="161">
        <v>67</v>
      </c>
      <c r="J892" s="161" t="s">
        <v>105</v>
      </c>
      <c r="K892" s="21" t="s">
        <v>106</v>
      </c>
      <c r="L892" s="161" t="s">
        <v>3380</v>
      </c>
      <c r="M892" s="21" t="s">
        <v>107</v>
      </c>
      <c r="N892" s="161" t="s">
        <v>108</v>
      </c>
      <c r="O892" s="21" t="s">
        <v>68</v>
      </c>
      <c r="P892" s="161" t="s">
        <v>109</v>
      </c>
      <c r="Q892" s="21" t="s">
        <v>70</v>
      </c>
      <c r="R892" s="161">
        <v>70</v>
      </c>
      <c r="S892" s="161" t="s">
        <v>991</v>
      </c>
      <c r="T892" s="161" t="s">
        <v>174</v>
      </c>
      <c r="U892" s="161" t="s">
        <v>142</v>
      </c>
      <c r="V892" s="21" t="s">
        <v>74</v>
      </c>
      <c r="W892" s="21" t="s">
        <v>762</v>
      </c>
      <c r="X892" s="161" t="s">
        <v>995</v>
      </c>
      <c r="Y892" s="161">
        <v>1.554E-2</v>
      </c>
      <c r="Z892" s="161">
        <v>5.4</v>
      </c>
      <c r="AA892" s="161" t="s">
        <v>144</v>
      </c>
      <c r="AB892" s="161" t="s">
        <v>114</v>
      </c>
      <c r="AC892" s="266" t="str">
        <f>HYPERLINK("https://gcsvt.ru/svetodiodnyie-svetilniki/svt-str-m-53w-30x120-trio-s-zashchitoy-ot-380/","Ссылка")</f>
        <v>Ссылка</v>
      </c>
      <c r="AD892" s="167">
        <v>27234</v>
      </c>
    </row>
    <row r="893" spans="1:30" s="161" customFormat="1" ht="39.950000000000003" hidden="1" customHeight="1" outlineLevel="2" x14ac:dyDescent="0.25">
      <c r="A893" s="21"/>
      <c r="B893" s="21" t="s">
        <v>870</v>
      </c>
      <c r="C893" s="159" t="s">
        <v>1021</v>
      </c>
      <c r="D893" s="161">
        <v>25260</v>
      </c>
      <c r="E893" s="161">
        <v>159</v>
      </c>
      <c r="F893" s="161">
        <v>158</v>
      </c>
      <c r="G893" s="161" t="s">
        <v>1022</v>
      </c>
      <c r="H893" s="161" t="s">
        <v>192</v>
      </c>
      <c r="I893" s="161">
        <v>67</v>
      </c>
      <c r="J893" s="161" t="s">
        <v>105</v>
      </c>
      <c r="K893" s="21" t="s">
        <v>106</v>
      </c>
      <c r="L893" s="161" t="s">
        <v>3380</v>
      </c>
      <c r="M893" s="21" t="s">
        <v>107</v>
      </c>
      <c r="N893" s="161" t="s">
        <v>108</v>
      </c>
      <c r="O893" s="21" t="s">
        <v>68</v>
      </c>
      <c r="P893" s="161" t="s">
        <v>109</v>
      </c>
      <c r="Q893" s="21" t="s">
        <v>70</v>
      </c>
      <c r="R893" s="161">
        <v>70</v>
      </c>
      <c r="S893" s="161" t="s">
        <v>991</v>
      </c>
      <c r="T893" s="161" t="s">
        <v>174</v>
      </c>
      <c r="U893" s="161" t="s">
        <v>142</v>
      </c>
      <c r="V893" s="21" t="s">
        <v>74</v>
      </c>
      <c r="W893" s="21" t="s">
        <v>762</v>
      </c>
      <c r="X893" s="161" t="s">
        <v>995</v>
      </c>
      <c r="Y893" s="161">
        <v>1.554E-2</v>
      </c>
      <c r="Z893" s="161">
        <v>5.4</v>
      </c>
      <c r="AA893" s="161" t="s">
        <v>144</v>
      </c>
      <c r="AB893" s="161" t="s">
        <v>114</v>
      </c>
      <c r="AC893" s="266" t="str">
        <f>HYPERLINK("https://gcsvt.ru/svetodiodnyie-svetilniki/svt-str-m-53w-vsm-trio-s-zashchitoy-ot-380/","Ссылка")</f>
        <v>Ссылка</v>
      </c>
      <c r="AD893" s="167">
        <v>27234</v>
      </c>
    </row>
    <row r="894" spans="1:30" s="161" customFormat="1" ht="39.950000000000003" hidden="1" customHeight="1" outlineLevel="2" x14ac:dyDescent="0.25">
      <c r="A894" s="21"/>
      <c r="B894" s="21" t="s">
        <v>870</v>
      </c>
      <c r="C894" s="159" t="s">
        <v>2774</v>
      </c>
      <c r="D894" s="161">
        <v>35850</v>
      </c>
      <c r="E894" s="161">
        <v>237</v>
      </c>
      <c r="F894" s="161">
        <v>151</v>
      </c>
      <c r="G894" s="161" t="s">
        <v>1023</v>
      </c>
      <c r="H894" s="161" t="s">
        <v>63</v>
      </c>
      <c r="I894" s="161">
        <v>67</v>
      </c>
      <c r="J894" s="161" t="s">
        <v>105</v>
      </c>
      <c r="K894" s="21" t="s">
        <v>106</v>
      </c>
      <c r="L894" s="161" t="s">
        <v>3380</v>
      </c>
      <c r="M894" s="21" t="s">
        <v>157</v>
      </c>
      <c r="N894" s="161" t="s">
        <v>67</v>
      </c>
      <c r="O894" s="21" t="s">
        <v>68</v>
      </c>
      <c r="P894" s="161" t="s">
        <v>109</v>
      </c>
      <c r="Q894" s="21" t="s">
        <v>70</v>
      </c>
      <c r="R894" s="161">
        <v>70</v>
      </c>
      <c r="S894" s="161" t="s">
        <v>1024</v>
      </c>
      <c r="T894" s="161" t="s">
        <v>174</v>
      </c>
      <c r="U894" s="161" t="s">
        <v>73</v>
      </c>
      <c r="V894" s="21" t="s">
        <v>74</v>
      </c>
      <c r="W894" s="21" t="s">
        <v>160</v>
      </c>
      <c r="X894" s="161" t="s">
        <v>1025</v>
      </c>
      <c r="Y894" s="161">
        <v>2.7380000000000002E-2</v>
      </c>
      <c r="Z894" s="161">
        <v>7.8</v>
      </c>
      <c r="AA894" s="161" t="s">
        <v>77</v>
      </c>
      <c r="AB894" s="161" t="s">
        <v>114</v>
      </c>
      <c r="AC894" s="266" t="str">
        <f>HYPERLINK("https://gcsvt.ru/svetodiodnyie-svetilniki/svt-str-m-79w-45x140-trio-s/","Ссылка")</f>
        <v>Ссылка</v>
      </c>
      <c r="AD894" s="167">
        <v>41004</v>
      </c>
    </row>
    <row r="895" spans="1:30" s="161" customFormat="1" ht="39.950000000000003" hidden="1" customHeight="1" outlineLevel="2" x14ac:dyDescent="0.25">
      <c r="A895" s="21"/>
      <c r="B895" s="21" t="s">
        <v>870</v>
      </c>
      <c r="C895" s="159" t="s">
        <v>1026</v>
      </c>
      <c r="D895" s="161">
        <v>35850</v>
      </c>
      <c r="E895" s="161">
        <v>237</v>
      </c>
      <c r="F895" s="161">
        <v>151</v>
      </c>
      <c r="G895" s="161" t="s">
        <v>1027</v>
      </c>
      <c r="H895" s="161" t="s">
        <v>63</v>
      </c>
      <c r="I895" s="161">
        <v>67</v>
      </c>
      <c r="J895" s="161" t="s">
        <v>105</v>
      </c>
      <c r="K895" s="21" t="s">
        <v>106</v>
      </c>
      <c r="L895" s="161" t="s">
        <v>3380</v>
      </c>
      <c r="M895" s="21" t="s">
        <v>157</v>
      </c>
      <c r="N895" s="161" t="s">
        <v>67</v>
      </c>
      <c r="O895" s="21" t="s">
        <v>68</v>
      </c>
      <c r="P895" s="161" t="s">
        <v>109</v>
      </c>
      <c r="Q895" s="21" t="s">
        <v>70</v>
      </c>
      <c r="R895" s="161">
        <v>70</v>
      </c>
      <c r="S895" s="161" t="s">
        <v>1024</v>
      </c>
      <c r="T895" s="161" t="s">
        <v>174</v>
      </c>
      <c r="U895" s="161" t="s">
        <v>73</v>
      </c>
      <c r="V895" s="21" t="s">
        <v>74</v>
      </c>
      <c r="W895" s="21" t="s">
        <v>762</v>
      </c>
      <c r="X895" s="161" t="s">
        <v>1028</v>
      </c>
      <c r="Y895" s="161">
        <v>2.7380000000000002E-2</v>
      </c>
      <c r="Z895" s="161">
        <v>7.8</v>
      </c>
      <c r="AA895" s="161" t="s">
        <v>77</v>
      </c>
      <c r="AB895" s="161" t="s">
        <v>114</v>
      </c>
      <c r="AC895" s="266" t="str">
        <f>HYPERLINK("https://gcsvt.ru/svetodiodnyie-svetilniki/svt-str-m-79w-45x140-trio/","Ссылка")</f>
        <v>Ссылка</v>
      </c>
      <c r="AD895" s="167">
        <v>41004</v>
      </c>
    </row>
    <row r="896" spans="1:30" s="161" customFormat="1" ht="39.950000000000003" hidden="1" customHeight="1" outlineLevel="2" x14ac:dyDescent="0.25">
      <c r="A896" s="21"/>
      <c r="B896" s="21" t="s">
        <v>870</v>
      </c>
      <c r="C896" s="159" t="s">
        <v>1029</v>
      </c>
      <c r="D896" s="161">
        <v>35850</v>
      </c>
      <c r="E896" s="161">
        <v>237</v>
      </c>
      <c r="F896" s="161">
        <v>151</v>
      </c>
      <c r="G896" s="161" t="s">
        <v>1030</v>
      </c>
      <c r="H896" s="161" t="s">
        <v>177</v>
      </c>
      <c r="I896" s="161">
        <v>67</v>
      </c>
      <c r="J896" s="161" t="s">
        <v>105</v>
      </c>
      <c r="K896" s="21" t="s">
        <v>106</v>
      </c>
      <c r="L896" s="161" t="s">
        <v>3380</v>
      </c>
      <c r="M896" s="21" t="s">
        <v>157</v>
      </c>
      <c r="N896" s="161" t="s">
        <v>67</v>
      </c>
      <c r="O896" s="21" t="s">
        <v>68</v>
      </c>
      <c r="P896" s="161" t="s">
        <v>109</v>
      </c>
      <c r="Q896" s="21" t="s">
        <v>70</v>
      </c>
      <c r="R896" s="161">
        <v>70</v>
      </c>
      <c r="S896" s="161" t="s">
        <v>1024</v>
      </c>
      <c r="T896" s="161" t="s">
        <v>174</v>
      </c>
      <c r="U896" s="161" t="s">
        <v>73</v>
      </c>
      <c r="V896" s="21" t="s">
        <v>74</v>
      </c>
      <c r="W896" s="21" t="s">
        <v>762</v>
      </c>
      <c r="X896" s="161" t="s">
        <v>1028</v>
      </c>
      <c r="Y896" s="161">
        <v>2.7380000000000002E-2</v>
      </c>
      <c r="Z896" s="161">
        <v>7.8</v>
      </c>
      <c r="AA896" s="161" t="s">
        <v>77</v>
      </c>
      <c r="AB896" s="161" t="s">
        <v>114</v>
      </c>
      <c r="AC896" s="266" t="str">
        <f>HYPERLINK("https://gcsvt.ru/svetodiodnyie-svetilniki/SVT-STR-M-79W-20-TRIO/","Ссылка")</f>
        <v>Ссылка</v>
      </c>
      <c r="AD896" s="167">
        <v>41004</v>
      </c>
    </row>
    <row r="897" spans="1:30" s="161" customFormat="1" ht="39.950000000000003" hidden="1" customHeight="1" outlineLevel="2" x14ac:dyDescent="0.25">
      <c r="A897" s="21"/>
      <c r="B897" s="21" t="s">
        <v>870</v>
      </c>
      <c r="C897" s="159" t="s">
        <v>1031</v>
      </c>
      <c r="D897" s="161">
        <v>35850</v>
      </c>
      <c r="E897" s="161">
        <v>237</v>
      </c>
      <c r="F897" s="161">
        <v>151</v>
      </c>
      <c r="G897" s="161" t="s">
        <v>1032</v>
      </c>
      <c r="H897" s="161" t="s">
        <v>180</v>
      </c>
      <c r="I897" s="161">
        <v>67</v>
      </c>
      <c r="J897" s="161" t="s">
        <v>105</v>
      </c>
      <c r="K897" s="21" t="s">
        <v>106</v>
      </c>
      <c r="L897" s="161" t="s">
        <v>3380</v>
      </c>
      <c r="M897" s="21" t="s">
        <v>157</v>
      </c>
      <c r="N897" s="161" t="s">
        <v>67</v>
      </c>
      <c r="O897" s="21" t="s">
        <v>68</v>
      </c>
      <c r="P897" s="161" t="s">
        <v>109</v>
      </c>
      <c r="Q897" s="21" t="s">
        <v>70</v>
      </c>
      <c r="R897" s="161">
        <v>70</v>
      </c>
      <c r="S897" s="161" t="s">
        <v>1024</v>
      </c>
      <c r="T897" s="161" t="s">
        <v>174</v>
      </c>
      <c r="U897" s="161" t="s">
        <v>73</v>
      </c>
      <c r="V897" s="21" t="s">
        <v>74</v>
      </c>
      <c r="W897" s="21" t="s">
        <v>762</v>
      </c>
      <c r="X897" s="161" t="s">
        <v>1028</v>
      </c>
      <c r="Y897" s="161">
        <v>2.7380000000000002E-2</v>
      </c>
      <c r="Z897" s="161">
        <v>7.8</v>
      </c>
      <c r="AA897" s="161" t="s">
        <v>77</v>
      </c>
      <c r="AB897" s="161" t="s">
        <v>114</v>
      </c>
      <c r="AC897" s="266" t="str">
        <f>HYPERLINK("https://gcsvt.ru/svetodiodnyie-svetilniki/SVT-STR-M-79W-35-TRIO/","Ссылка")</f>
        <v>Ссылка</v>
      </c>
      <c r="AD897" s="167">
        <v>41004</v>
      </c>
    </row>
    <row r="898" spans="1:30" s="161" customFormat="1" ht="39.950000000000003" hidden="1" customHeight="1" outlineLevel="2" x14ac:dyDescent="0.25">
      <c r="A898" s="21"/>
      <c r="B898" s="21" t="s">
        <v>870</v>
      </c>
      <c r="C898" s="159" t="s">
        <v>1033</v>
      </c>
      <c r="D898" s="161">
        <v>35850</v>
      </c>
      <c r="E898" s="161">
        <v>237</v>
      </c>
      <c r="F898" s="161">
        <v>151</v>
      </c>
      <c r="G898" s="161" t="s">
        <v>1034</v>
      </c>
      <c r="H898" s="161" t="s">
        <v>183</v>
      </c>
      <c r="I898" s="161">
        <v>67</v>
      </c>
      <c r="J898" s="161" t="s">
        <v>105</v>
      </c>
      <c r="K898" s="21" t="s">
        <v>106</v>
      </c>
      <c r="L898" s="161" t="s">
        <v>3380</v>
      </c>
      <c r="M898" s="21" t="s">
        <v>157</v>
      </c>
      <c r="N898" s="161" t="s">
        <v>67</v>
      </c>
      <c r="O898" s="21" t="s">
        <v>68</v>
      </c>
      <c r="P898" s="161" t="s">
        <v>109</v>
      </c>
      <c r="Q898" s="21" t="s">
        <v>70</v>
      </c>
      <c r="R898" s="161">
        <v>70</v>
      </c>
      <c r="S898" s="161" t="s">
        <v>1024</v>
      </c>
      <c r="T898" s="161" t="s">
        <v>174</v>
      </c>
      <c r="U898" s="161" t="s">
        <v>73</v>
      </c>
      <c r="V898" s="21" t="s">
        <v>74</v>
      </c>
      <c r="W898" s="21" t="s">
        <v>762</v>
      </c>
      <c r="X898" s="161" t="s">
        <v>1028</v>
      </c>
      <c r="Y898" s="161">
        <v>2.7380000000000002E-2</v>
      </c>
      <c r="Z898" s="161">
        <v>7.8</v>
      </c>
      <c r="AA898" s="161" t="s">
        <v>77</v>
      </c>
      <c r="AB898" s="161" t="s">
        <v>114</v>
      </c>
      <c r="AC898" s="266" t="str">
        <f>HYPERLINK("https://gcsvt.ru/svetodiodnyie-svetilniki/SVT-STR-M-79W-65-TRIO/","Ссылка")</f>
        <v>Ссылка</v>
      </c>
      <c r="AD898" s="167">
        <v>41004</v>
      </c>
    </row>
    <row r="899" spans="1:30" s="161" customFormat="1" ht="39.950000000000003" hidden="1" customHeight="1" outlineLevel="2" x14ac:dyDescent="0.25">
      <c r="A899" s="21"/>
      <c r="B899" s="21" t="s">
        <v>870</v>
      </c>
      <c r="C899" s="159" t="s">
        <v>1035</v>
      </c>
      <c r="D899" s="161">
        <v>35850</v>
      </c>
      <c r="E899" s="161">
        <v>237</v>
      </c>
      <c r="F899" s="161">
        <v>151</v>
      </c>
      <c r="G899" s="161" t="s">
        <v>1036</v>
      </c>
      <c r="H899" s="161" t="s">
        <v>186</v>
      </c>
      <c r="I899" s="161">
        <v>67</v>
      </c>
      <c r="J899" s="161" t="s">
        <v>105</v>
      </c>
      <c r="K899" s="21" t="s">
        <v>106</v>
      </c>
      <c r="L899" s="161" t="s">
        <v>3380</v>
      </c>
      <c r="M899" s="21" t="s">
        <v>157</v>
      </c>
      <c r="N899" s="161" t="s">
        <v>67</v>
      </c>
      <c r="O899" s="21" t="s">
        <v>68</v>
      </c>
      <c r="P899" s="161" t="s">
        <v>109</v>
      </c>
      <c r="Q899" s="21" t="s">
        <v>70</v>
      </c>
      <c r="R899" s="161">
        <v>70</v>
      </c>
      <c r="S899" s="161" t="s">
        <v>1024</v>
      </c>
      <c r="T899" s="161" t="s">
        <v>174</v>
      </c>
      <c r="U899" s="161" t="s">
        <v>73</v>
      </c>
      <c r="V899" s="21" t="s">
        <v>74</v>
      </c>
      <c r="W899" s="21" t="s">
        <v>762</v>
      </c>
      <c r="X899" s="161" t="s">
        <v>1028</v>
      </c>
      <c r="Y899" s="161">
        <v>2.7380000000000002E-2</v>
      </c>
      <c r="Z899" s="161">
        <v>7.8</v>
      </c>
      <c r="AA899" s="161" t="s">
        <v>77</v>
      </c>
      <c r="AB899" s="161" t="s">
        <v>114</v>
      </c>
      <c r="AC899" s="266" t="str">
        <f>HYPERLINK("https://gcsvt.ru/svetodiodnyie-svetilniki/svt-str-m-79w-100-trio/","Ссылка")</f>
        <v>Ссылка</v>
      </c>
      <c r="AD899" s="167">
        <v>41004</v>
      </c>
    </row>
    <row r="900" spans="1:30" s="161" customFormat="1" ht="39.950000000000003" hidden="1" customHeight="1" outlineLevel="2" x14ac:dyDescent="0.25">
      <c r="A900" s="21"/>
      <c r="B900" s="21" t="s">
        <v>870</v>
      </c>
      <c r="C900" s="159" t="s">
        <v>1037</v>
      </c>
      <c r="D900" s="161">
        <v>35850</v>
      </c>
      <c r="E900" s="161">
        <v>237</v>
      </c>
      <c r="F900" s="161">
        <v>151</v>
      </c>
      <c r="G900" s="161" t="s">
        <v>1038</v>
      </c>
      <c r="H900" s="161" t="s">
        <v>189</v>
      </c>
      <c r="I900" s="161">
        <v>67</v>
      </c>
      <c r="J900" s="161" t="s">
        <v>105</v>
      </c>
      <c r="K900" s="21" t="s">
        <v>106</v>
      </c>
      <c r="L900" s="161" t="s">
        <v>3380</v>
      </c>
      <c r="M900" s="21" t="s">
        <v>157</v>
      </c>
      <c r="N900" s="161" t="s">
        <v>67</v>
      </c>
      <c r="O900" s="21" t="s">
        <v>68</v>
      </c>
      <c r="P900" s="161" t="s">
        <v>109</v>
      </c>
      <c r="Q900" s="21" t="s">
        <v>70</v>
      </c>
      <c r="R900" s="161">
        <v>70</v>
      </c>
      <c r="S900" s="161" t="s">
        <v>1024</v>
      </c>
      <c r="T900" s="161" t="s">
        <v>174</v>
      </c>
      <c r="U900" s="161" t="s">
        <v>73</v>
      </c>
      <c r="V900" s="21" t="s">
        <v>74</v>
      </c>
      <c r="W900" s="21" t="s">
        <v>762</v>
      </c>
      <c r="X900" s="161" t="s">
        <v>1028</v>
      </c>
      <c r="Y900" s="161">
        <v>2.7380000000000002E-2</v>
      </c>
      <c r="Z900" s="161">
        <v>7.8</v>
      </c>
      <c r="AA900" s="161" t="s">
        <v>77</v>
      </c>
      <c r="AB900" s="161" t="s">
        <v>114</v>
      </c>
      <c r="AC900" s="266" t="str">
        <f>HYPERLINK("https://gcsvt.ru/svetodiodnyie-svetilniki/svt-str-m-79w-30x120-trio/","Ссылка")</f>
        <v>Ссылка</v>
      </c>
      <c r="AD900" s="167">
        <v>41004</v>
      </c>
    </row>
    <row r="901" spans="1:30" s="161" customFormat="1" ht="39.950000000000003" hidden="1" customHeight="1" outlineLevel="2" x14ac:dyDescent="0.25">
      <c r="A901" s="21"/>
      <c r="B901" s="21" t="s">
        <v>870</v>
      </c>
      <c r="C901" s="159" t="s">
        <v>1039</v>
      </c>
      <c r="D901" s="161">
        <v>35850</v>
      </c>
      <c r="E901" s="161">
        <v>237</v>
      </c>
      <c r="F901" s="161">
        <v>151</v>
      </c>
      <c r="G901" s="161" t="s">
        <v>1040</v>
      </c>
      <c r="H901" s="161" t="s">
        <v>192</v>
      </c>
      <c r="I901" s="161">
        <v>67</v>
      </c>
      <c r="J901" s="161" t="s">
        <v>105</v>
      </c>
      <c r="K901" s="21" t="s">
        <v>106</v>
      </c>
      <c r="L901" s="161" t="s">
        <v>3380</v>
      </c>
      <c r="M901" s="21" t="s">
        <v>157</v>
      </c>
      <c r="N901" s="161" t="s">
        <v>67</v>
      </c>
      <c r="O901" s="21" t="s">
        <v>68</v>
      </c>
      <c r="P901" s="161" t="s">
        <v>109</v>
      </c>
      <c r="Q901" s="21" t="s">
        <v>70</v>
      </c>
      <c r="R901" s="161">
        <v>70</v>
      </c>
      <c r="S901" s="161" t="s">
        <v>1024</v>
      </c>
      <c r="T901" s="161" t="s">
        <v>174</v>
      </c>
      <c r="U901" s="161" t="s">
        <v>73</v>
      </c>
      <c r="V901" s="21" t="s">
        <v>74</v>
      </c>
      <c r="W901" s="21" t="s">
        <v>762</v>
      </c>
      <c r="X901" s="161" t="s">
        <v>1028</v>
      </c>
      <c r="Y901" s="161">
        <v>2.7380000000000002E-2</v>
      </c>
      <c r="Z901" s="161">
        <v>7.8</v>
      </c>
      <c r="AA901" s="161" t="s">
        <v>77</v>
      </c>
      <c r="AB901" s="161" t="s">
        <v>114</v>
      </c>
      <c r="AC901" s="266" t="str">
        <f>HYPERLINK("https://gcsvt.ru/svetodiodnyie-svetilniki/svt-str-m-79w-vsm-trio/","Ссылка")</f>
        <v>Ссылка</v>
      </c>
      <c r="AD901" s="167">
        <v>41004</v>
      </c>
    </row>
    <row r="902" spans="1:30" s="161" customFormat="1" ht="39.950000000000003" hidden="1" customHeight="1" outlineLevel="2" x14ac:dyDescent="0.25">
      <c r="A902" s="21"/>
      <c r="B902" s="21" t="s">
        <v>870</v>
      </c>
      <c r="C902" s="159" t="s">
        <v>1041</v>
      </c>
      <c r="D902" s="161">
        <v>33680</v>
      </c>
      <c r="E902" s="161">
        <v>212</v>
      </c>
      <c r="F902" s="161">
        <v>158</v>
      </c>
      <c r="G902" s="161" t="s">
        <v>1042</v>
      </c>
      <c r="H902" s="161" t="s">
        <v>63</v>
      </c>
      <c r="I902" s="161">
        <v>67</v>
      </c>
      <c r="J902" s="161" t="s">
        <v>105</v>
      </c>
      <c r="K902" s="21" t="s">
        <v>106</v>
      </c>
      <c r="L902" s="161" t="s">
        <v>3380</v>
      </c>
      <c r="M902" s="21" t="s">
        <v>568</v>
      </c>
      <c r="N902" s="161" t="s">
        <v>108</v>
      </c>
      <c r="O902" s="21" t="s">
        <v>68</v>
      </c>
      <c r="P902" s="161" t="s">
        <v>109</v>
      </c>
      <c r="Q902" s="21" t="s">
        <v>70</v>
      </c>
      <c r="R902" s="161">
        <v>70</v>
      </c>
      <c r="S902" s="161" t="s">
        <v>1043</v>
      </c>
      <c r="T902" s="161" t="s">
        <v>174</v>
      </c>
      <c r="U902" s="161" t="s">
        <v>73</v>
      </c>
      <c r="V902" s="21" t="s">
        <v>74</v>
      </c>
      <c r="W902" s="21" t="s">
        <v>762</v>
      </c>
      <c r="X902" s="161" t="s">
        <v>1044</v>
      </c>
      <c r="Y902" s="161">
        <v>2.0160000000000001E-2</v>
      </c>
      <c r="Z902" s="161">
        <v>7.2</v>
      </c>
      <c r="AA902" s="161" t="s">
        <v>144</v>
      </c>
      <c r="AB902" s="161" t="s">
        <v>114</v>
      </c>
      <c r="AC902" s="266" t="str">
        <f>HYPERLINK("https://gcsvt.ru/svetodiodnyie-svetilniki/svt-str-m-53w-45x140-quattro/","Ссылка")</f>
        <v>Ссылка</v>
      </c>
      <c r="AD902" s="167">
        <v>34680</v>
      </c>
    </row>
    <row r="903" spans="1:30" s="161" customFormat="1" ht="39.950000000000003" hidden="1" customHeight="1" outlineLevel="2" x14ac:dyDescent="0.25">
      <c r="A903" s="21"/>
      <c r="B903" s="21" t="s">
        <v>870</v>
      </c>
      <c r="C903" s="159" t="s">
        <v>1045</v>
      </c>
      <c r="D903" s="161">
        <v>33680</v>
      </c>
      <c r="E903" s="161">
        <v>212</v>
      </c>
      <c r="F903" s="161">
        <v>158</v>
      </c>
      <c r="G903" s="161" t="s">
        <v>1046</v>
      </c>
      <c r="H903" s="161" t="s">
        <v>177</v>
      </c>
      <c r="I903" s="161">
        <v>67</v>
      </c>
      <c r="J903" s="161" t="s">
        <v>105</v>
      </c>
      <c r="K903" s="21" t="s">
        <v>106</v>
      </c>
      <c r="L903" s="161" t="s">
        <v>3380</v>
      </c>
      <c r="M903" s="21" t="s">
        <v>568</v>
      </c>
      <c r="N903" s="161" t="s">
        <v>108</v>
      </c>
      <c r="O903" s="21" t="s">
        <v>68</v>
      </c>
      <c r="P903" s="161" t="s">
        <v>109</v>
      </c>
      <c r="Q903" s="21" t="s">
        <v>70</v>
      </c>
      <c r="R903" s="161">
        <v>70</v>
      </c>
      <c r="S903" s="161" t="s">
        <v>1043</v>
      </c>
      <c r="T903" s="161" t="s">
        <v>174</v>
      </c>
      <c r="U903" s="161" t="s">
        <v>73</v>
      </c>
      <c r="V903" s="21" t="s">
        <v>74</v>
      </c>
      <c r="W903" s="21" t="s">
        <v>762</v>
      </c>
      <c r="X903" s="161" t="s">
        <v>1044</v>
      </c>
      <c r="Y903" s="161">
        <v>2.0160000000000001E-2</v>
      </c>
      <c r="Z903" s="161">
        <v>7.2</v>
      </c>
      <c r="AA903" s="161" t="s">
        <v>144</v>
      </c>
      <c r="AB903" s="161" t="s">
        <v>114</v>
      </c>
      <c r="AC903" s="266" t="str">
        <f>HYPERLINK("https://gcsvt.ru/svetodiodnyie-svetilniki/SVT-STR-M-53W-20-QUATTRO/","Ссылка")</f>
        <v>Ссылка</v>
      </c>
      <c r="AD903" s="167">
        <v>34680</v>
      </c>
    </row>
    <row r="904" spans="1:30" s="161" customFormat="1" ht="39.950000000000003" hidden="1" customHeight="1" outlineLevel="2" x14ac:dyDescent="0.25">
      <c r="A904" s="21"/>
      <c r="B904" s="21" t="s">
        <v>870</v>
      </c>
      <c r="C904" s="159" t="s">
        <v>1047</v>
      </c>
      <c r="D904" s="161">
        <v>33680</v>
      </c>
      <c r="E904" s="161">
        <v>212</v>
      </c>
      <c r="F904" s="161">
        <v>158</v>
      </c>
      <c r="G904" s="161" t="s">
        <v>1048</v>
      </c>
      <c r="H904" s="161" t="s">
        <v>180</v>
      </c>
      <c r="I904" s="161">
        <v>67</v>
      </c>
      <c r="J904" s="161" t="s">
        <v>105</v>
      </c>
      <c r="K904" s="21" t="s">
        <v>106</v>
      </c>
      <c r="L904" s="161" t="s">
        <v>3380</v>
      </c>
      <c r="M904" s="21" t="s">
        <v>568</v>
      </c>
      <c r="N904" s="161" t="s">
        <v>108</v>
      </c>
      <c r="O904" s="21" t="s">
        <v>68</v>
      </c>
      <c r="P904" s="161" t="s">
        <v>109</v>
      </c>
      <c r="Q904" s="21" t="s">
        <v>70</v>
      </c>
      <c r="R904" s="161">
        <v>70</v>
      </c>
      <c r="S904" s="161" t="s">
        <v>1043</v>
      </c>
      <c r="T904" s="161" t="s">
        <v>174</v>
      </c>
      <c r="U904" s="161" t="s">
        <v>73</v>
      </c>
      <c r="V904" s="21" t="s">
        <v>74</v>
      </c>
      <c r="W904" s="21" t="s">
        <v>762</v>
      </c>
      <c r="X904" s="161" t="s">
        <v>1044</v>
      </c>
      <c r="Y904" s="161">
        <v>2.0160000000000001E-2</v>
      </c>
      <c r="Z904" s="161">
        <v>7.2</v>
      </c>
      <c r="AA904" s="161" t="s">
        <v>144</v>
      </c>
      <c r="AB904" s="161" t="s">
        <v>114</v>
      </c>
      <c r="AC904" s="266" t="str">
        <f>HYPERLINK("https://gcsvt.ru/svetodiodnyie-svetilniki/SVT-STR-M-53W-35-QUATTRO/","Ссылка")</f>
        <v>Ссылка</v>
      </c>
      <c r="AD904" s="167">
        <v>34680</v>
      </c>
    </row>
    <row r="905" spans="1:30" s="161" customFormat="1" ht="39.950000000000003" hidden="1" customHeight="1" outlineLevel="2" x14ac:dyDescent="0.25">
      <c r="A905" s="21"/>
      <c r="B905" s="21" t="s">
        <v>870</v>
      </c>
      <c r="C905" s="159" t="s">
        <v>1049</v>
      </c>
      <c r="D905" s="161">
        <v>33680</v>
      </c>
      <c r="E905" s="161">
        <v>212</v>
      </c>
      <c r="F905" s="161">
        <v>158</v>
      </c>
      <c r="G905" s="161" t="s">
        <v>1050</v>
      </c>
      <c r="H905" s="161" t="s">
        <v>183</v>
      </c>
      <c r="I905" s="161">
        <v>67</v>
      </c>
      <c r="J905" s="161" t="s">
        <v>105</v>
      </c>
      <c r="K905" s="21" t="s">
        <v>106</v>
      </c>
      <c r="L905" s="161" t="s">
        <v>3380</v>
      </c>
      <c r="M905" s="21" t="s">
        <v>568</v>
      </c>
      <c r="N905" s="161" t="s">
        <v>108</v>
      </c>
      <c r="O905" s="21" t="s">
        <v>68</v>
      </c>
      <c r="P905" s="161" t="s">
        <v>109</v>
      </c>
      <c r="Q905" s="21" t="s">
        <v>70</v>
      </c>
      <c r="R905" s="161">
        <v>70</v>
      </c>
      <c r="S905" s="161" t="s">
        <v>1043</v>
      </c>
      <c r="T905" s="161" t="s">
        <v>174</v>
      </c>
      <c r="U905" s="161" t="s">
        <v>73</v>
      </c>
      <c r="V905" s="21" t="s">
        <v>74</v>
      </c>
      <c r="W905" s="21" t="s">
        <v>762</v>
      </c>
      <c r="X905" s="161" t="s">
        <v>1044</v>
      </c>
      <c r="Y905" s="161">
        <v>2.0160000000000001E-2</v>
      </c>
      <c r="Z905" s="161">
        <v>7.2</v>
      </c>
      <c r="AA905" s="161" t="s">
        <v>144</v>
      </c>
      <c r="AB905" s="161" t="s">
        <v>114</v>
      </c>
      <c r="AC905" s="266" t="str">
        <f>HYPERLINK("https://gcsvt.ru/svetodiodnyie-svetilniki/SVT-STR-M-53W-65-QUATTRO/","Ссылка")</f>
        <v>Ссылка</v>
      </c>
      <c r="AD905" s="167">
        <v>34680</v>
      </c>
    </row>
    <row r="906" spans="1:30" s="161" customFormat="1" ht="39.950000000000003" hidden="1" customHeight="1" outlineLevel="2" x14ac:dyDescent="0.25">
      <c r="A906" s="21"/>
      <c r="B906" s="21" t="s">
        <v>870</v>
      </c>
      <c r="C906" s="159" t="s">
        <v>1051</v>
      </c>
      <c r="D906" s="161">
        <v>33680</v>
      </c>
      <c r="E906" s="161">
        <v>212</v>
      </c>
      <c r="F906" s="161">
        <v>158</v>
      </c>
      <c r="G906" s="161" t="s">
        <v>1052</v>
      </c>
      <c r="H906" s="161" t="s">
        <v>186</v>
      </c>
      <c r="I906" s="161">
        <v>67</v>
      </c>
      <c r="J906" s="161" t="s">
        <v>105</v>
      </c>
      <c r="K906" s="21" t="s">
        <v>106</v>
      </c>
      <c r="L906" s="161" t="s">
        <v>3380</v>
      </c>
      <c r="M906" s="21" t="s">
        <v>568</v>
      </c>
      <c r="N906" s="161" t="s">
        <v>108</v>
      </c>
      <c r="O906" s="21" t="s">
        <v>68</v>
      </c>
      <c r="P906" s="161" t="s">
        <v>109</v>
      </c>
      <c r="Q906" s="21" t="s">
        <v>70</v>
      </c>
      <c r="R906" s="161">
        <v>70</v>
      </c>
      <c r="S906" s="161" t="s">
        <v>1043</v>
      </c>
      <c r="T906" s="161" t="s">
        <v>174</v>
      </c>
      <c r="U906" s="161" t="s">
        <v>73</v>
      </c>
      <c r="V906" s="21" t="s">
        <v>74</v>
      </c>
      <c r="W906" s="21" t="s">
        <v>762</v>
      </c>
      <c r="X906" s="161" t="s">
        <v>1044</v>
      </c>
      <c r="Y906" s="161">
        <v>2.0160000000000001E-2</v>
      </c>
      <c r="Z906" s="161">
        <v>7.2</v>
      </c>
      <c r="AA906" s="161" t="s">
        <v>144</v>
      </c>
      <c r="AB906" s="161" t="s">
        <v>114</v>
      </c>
      <c r="AC906" s="266" t="str">
        <f>HYPERLINK("https://gcsvt.ru/svetodiodnyie-svetilniki/svt-str-m-53w-100-quattro/","Ссылка")</f>
        <v>Ссылка</v>
      </c>
      <c r="AD906" s="167">
        <v>34680</v>
      </c>
    </row>
    <row r="907" spans="1:30" s="161" customFormat="1" ht="39.950000000000003" hidden="1" customHeight="1" outlineLevel="2" x14ac:dyDescent="0.25">
      <c r="A907" s="21"/>
      <c r="B907" s="21" t="s">
        <v>870</v>
      </c>
      <c r="C907" s="159" t="s">
        <v>1053</v>
      </c>
      <c r="D907" s="161">
        <v>33680</v>
      </c>
      <c r="E907" s="161">
        <v>212</v>
      </c>
      <c r="F907" s="161">
        <v>158</v>
      </c>
      <c r="G907" s="161" t="s">
        <v>1054</v>
      </c>
      <c r="H907" s="161" t="s">
        <v>189</v>
      </c>
      <c r="I907" s="161">
        <v>67</v>
      </c>
      <c r="J907" s="161" t="s">
        <v>105</v>
      </c>
      <c r="K907" s="21" t="s">
        <v>106</v>
      </c>
      <c r="L907" s="161" t="s">
        <v>3380</v>
      </c>
      <c r="M907" s="21" t="s">
        <v>568</v>
      </c>
      <c r="N907" s="161" t="s">
        <v>108</v>
      </c>
      <c r="O907" s="21" t="s">
        <v>68</v>
      </c>
      <c r="P907" s="161" t="s">
        <v>109</v>
      </c>
      <c r="Q907" s="21" t="s">
        <v>70</v>
      </c>
      <c r="R907" s="161">
        <v>70</v>
      </c>
      <c r="S907" s="161" t="s">
        <v>1043</v>
      </c>
      <c r="T907" s="161" t="s">
        <v>174</v>
      </c>
      <c r="U907" s="161" t="s">
        <v>73</v>
      </c>
      <c r="V907" s="21" t="s">
        <v>74</v>
      </c>
      <c r="W907" s="21" t="s">
        <v>762</v>
      </c>
      <c r="X907" s="161" t="s">
        <v>1044</v>
      </c>
      <c r="Y907" s="161">
        <v>2.0160000000000001E-2</v>
      </c>
      <c r="Z907" s="161">
        <v>7.2</v>
      </c>
      <c r="AA907" s="161" t="s">
        <v>144</v>
      </c>
      <c r="AB907" s="161" t="s">
        <v>114</v>
      </c>
      <c r="AC907" s="266" t="str">
        <f>HYPERLINK("https://gcsvt.ru/svetodiodnyie-svetilniki/svt-str-m-53w-30x120-quattro/","Ссылка")</f>
        <v>Ссылка</v>
      </c>
      <c r="AD907" s="167">
        <v>34680</v>
      </c>
    </row>
    <row r="908" spans="1:30" s="161" customFormat="1" ht="39.950000000000003" hidden="1" customHeight="1" outlineLevel="2" x14ac:dyDescent="0.25">
      <c r="A908" s="21"/>
      <c r="B908" s="21" t="s">
        <v>870</v>
      </c>
      <c r="C908" s="159" t="s">
        <v>1055</v>
      </c>
      <c r="D908" s="161">
        <v>33680</v>
      </c>
      <c r="E908" s="161">
        <v>212</v>
      </c>
      <c r="F908" s="161">
        <v>158</v>
      </c>
      <c r="G908" s="161" t="s">
        <v>1056</v>
      </c>
      <c r="H908" s="161" t="s">
        <v>192</v>
      </c>
      <c r="I908" s="161">
        <v>67</v>
      </c>
      <c r="J908" s="161" t="s">
        <v>105</v>
      </c>
      <c r="K908" s="21" t="s">
        <v>106</v>
      </c>
      <c r="L908" s="161" t="s">
        <v>3380</v>
      </c>
      <c r="M908" s="21" t="s">
        <v>568</v>
      </c>
      <c r="N908" s="161" t="s">
        <v>108</v>
      </c>
      <c r="O908" s="21" t="s">
        <v>68</v>
      </c>
      <c r="P908" s="161" t="s">
        <v>109</v>
      </c>
      <c r="Q908" s="21" t="s">
        <v>70</v>
      </c>
      <c r="R908" s="161">
        <v>70</v>
      </c>
      <c r="S908" s="161" t="s">
        <v>1043</v>
      </c>
      <c r="T908" s="161" t="s">
        <v>174</v>
      </c>
      <c r="U908" s="161" t="s">
        <v>73</v>
      </c>
      <c r="V908" s="21" t="s">
        <v>74</v>
      </c>
      <c r="W908" s="21" t="s">
        <v>762</v>
      </c>
      <c r="X908" s="161" t="s">
        <v>1044</v>
      </c>
      <c r="Y908" s="161">
        <v>2.0160000000000001E-2</v>
      </c>
      <c r="Z908" s="161">
        <v>7.2</v>
      </c>
      <c r="AA908" s="161" t="s">
        <v>144</v>
      </c>
      <c r="AB908" s="161" t="s">
        <v>114</v>
      </c>
      <c r="AC908" s="266" t="str">
        <f>HYPERLINK("https://gcsvt.ru/svetodiodnyie-svetilniki/svt-str-m-53w-vsm-quattro/","Ссылка")</f>
        <v>Ссылка</v>
      </c>
      <c r="AD908" s="167">
        <v>34680</v>
      </c>
    </row>
    <row r="909" spans="1:30" s="161" customFormat="1" ht="39.950000000000003" hidden="1" customHeight="1" outlineLevel="2" x14ac:dyDescent="0.25">
      <c r="A909" s="21"/>
      <c r="B909" s="21" t="s">
        <v>870</v>
      </c>
      <c r="C909" s="159" t="s">
        <v>1057</v>
      </c>
      <c r="D909" s="161">
        <v>33680</v>
      </c>
      <c r="E909" s="161">
        <v>212</v>
      </c>
      <c r="F909" s="161">
        <v>158</v>
      </c>
      <c r="G909" s="161" t="s">
        <v>1058</v>
      </c>
      <c r="H909" s="161" t="s">
        <v>63</v>
      </c>
      <c r="I909" s="161">
        <v>67</v>
      </c>
      <c r="J909" s="161" t="s">
        <v>105</v>
      </c>
      <c r="K909" s="21" t="s">
        <v>106</v>
      </c>
      <c r="L909" s="161" t="s">
        <v>3380</v>
      </c>
      <c r="M909" s="21" t="s">
        <v>107</v>
      </c>
      <c r="N909" s="161" t="s">
        <v>108</v>
      </c>
      <c r="O909" s="21" t="s">
        <v>68</v>
      </c>
      <c r="P909" s="161" t="s">
        <v>109</v>
      </c>
      <c r="Q909" s="21" t="s">
        <v>70</v>
      </c>
      <c r="R909" s="161">
        <v>70</v>
      </c>
      <c r="S909" s="161" t="s">
        <v>1043</v>
      </c>
      <c r="T909" s="161" t="s">
        <v>174</v>
      </c>
      <c r="U909" s="161" t="s">
        <v>73</v>
      </c>
      <c r="V909" s="21" t="s">
        <v>74</v>
      </c>
      <c r="W909" s="21" t="s">
        <v>762</v>
      </c>
      <c r="X909" s="161" t="s">
        <v>1044</v>
      </c>
      <c r="Y909" s="161">
        <v>2.0160000000000001E-2</v>
      </c>
      <c r="Z909" s="161">
        <v>7.2</v>
      </c>
      <c r="AA909" s="161" t="s">
        <v>144</v>
      </c>
      <c r="AB909" s="161" t="s">
        <v>114</v>
      </c>
      <c r="AC909" s="266" t="str">
        <f>HYPERLINK("https://gcsvt.ru/svetodiodnyie-svetilniki/svt-str-m-53w-45x140-quattro-s-zashchitoy-ot-380/","Ссылка")</f>
        <v>Ссылка</v>
      </c>
      <c r="AD909" s="167">
        <v>36312</v>
      </c>
    </row>
    <row r="910" spans="1:30" s="161" customFormat="1" ht="39.950000000000003" hidden="1" customHeight="1" outlineLevel="2" x14ac:dyDescent="0.25">
      <c r="A910" s="21"/>
      <c r="B910" s="21" t="s">
        <v>870</v>
      </c>
      <c r="C910" s="159" t="s">
        <v>1059</v>
      </c>
      <c r="D910" s="161">
        <v>33680</v>
      </c>
      <c r="E910" s="161">
        <v>212</v>
      </c>
      <c r="F910" s="161">
        <v>158</v>
      </c>
      <c r="G910" s="161" t="s">
        <v>1060</v>
      </c>
      <c r="H910" s="161" t="s">
        <v>177</v>
      </c>
      <c r="I910" s="161">
        <v>67</v>
      </c>
      <c r="J910" s="161" t="s">
        <v>105</v>
      </c>
      <c r="K910" s="21" t="s">
        <v>106</v>
      </c>
      <c r="L910" s="161" t="s">
        <v>3380</v>
      </c>
      <c r="M910" s="21" t="s">
        <v>107</v>
      </c>
      <c r="N910" s="161" t="s">
        <v>108</v>
      </c>
      <c r="O910" s="21" t="s">
        <v>68</v>
      </c>
      <c r="P910" s="161" t="s">
        <v>109</v>
      </c>
      <c r="Q910" s="21" t="s">
        <v>70</v>
      </c>
      <c r="R910" s="161">
        <v>70</v>
      </c>
      <c r="S910" s="161" t="s">
        <v>1043</v>
      </c>
      <c r="T910" s="161" t="s">
        <v>174</v>
      </c>
      <c r="U910" s="161" t="s">
        <v>73</v>
      </c>
      <c r="V910" s="21" t="s">
        <v>74</v>
      </c>
      <c r="W910" s="21" t="s">
        <v>762</v>
      </c>
      <c r="X910" s="161" t="s">
        <v>1044</v>
      </c>
      <c r="Y910" s="161">
        <v>2.0160000000000001E-2</v>
      </c>
      <c r="Z910" s="161">
        <v>7.2</v>
      </c>
      <c r="AA910" s="161" t="s">
        <v>144</v>
      </c>
      <c r="AB910" s="161" t="s">
        <v>114</v>
      </c>
      <c r="AC910" s="266" t="str">
        <f>HYPERLINK("https://gcsvt.ru/svetodiodnyie-svetilniki/SVT-STR-M-53W-20-QUATTRO-s-zashchitoy-ot-380/","Ссылка")</f>
        <v>Ссылка</v>
      </c>
      <c r="AD910" s="167">
        <v>36312</v>
      </c>
    </row>
    <row r="911" spans="1:30" s="161" customFormat="1" ht="39.950000000000003" hidden="1" customHeight="1" outlineLevel="2" x14ac:dyDescent="0.25">
      <c r="A911" s="21"/>
      <c r="B911" s="21" t="s">
        <v>870</v>
      </c>
      <c r="C911" s="159" t="s">
        <v>1061</v>
      </c>
      <c r="D911" s="161">
        <v>33680</v>
      </c>
      <c r="E911" s="161">
        <v>212</v>
      </c>
      <c r="F911" s="161">
        <v>158</v>
      </c>
      <c r="G911" s="161" t="s">
        <v>1062</v>
      </c>
      <c r="H911" s="161" t="s">
        <v>180</v>
      </c>
      <c r="I911" s="161">
        <v>67</v>
      </c>
      <c r="J911" s="161" t="s">
        <v>105</v>
      </c>
      <c r="K911" s="21" t="s">
        <v>106</v>
      </c>
      <c r="L911" s="161" t="s">
        <v>3380</v>
      </c>
      <c r="M911" s="21" t="s">
        <v>107</v>
      </c>
      <c r="N911" s="161" t="s">
        <v>108</v>
      </c>
      <c r="O911" s="21" t="s">
        <v>68</v>
      </c>
      <c r="P911" s="161" t="s">
        <v>109</v>
      </c>
      <c r="Q911" s="21" t="s">
        <v>70</v>
      </c>
      <c r="R911" s="161">
        <v>70</v>
      </c>
      <c r="S911" s="161" t="s">
        <v>1043</v>
      </c>
      <c r="T911" s="161" t="s">
        <v>174</v>
      </c>
      <c r="U911" s="161" t="s">
        <v>73</v>
      </c>
      <c r="V911" s="21" t="s">
        <v>74</v>
      </c>
      <c r="W911" s="21" t="s">
        <v>762</v>
      </c>
      <c r="X911" s="161" t="s">
        <v>1044</v>
      </c>
      <c r="Y911" s="161">
        <v>2.0160000000000001E-2</v>
      </c>
      <c r="Z911" s="161">
        <v>7.2</v>
      </c>
      <c r="AA911" s="161" t="s">
        <v>144</v>
      </c>
      <c r="AB911" s="161" t="s">
        <v>114</v>
      </c>
      <c r="AC911" s="266" t="str">
        <f>HYPERLINK("https://gcsvt.ru/svetodiodnyie-svetilniki/SVT-STR-M-53W-35-QUATTRO-s-zashchitoy-ot-380/","Ссылка")</f>
        <v>Ссылка</v>
      </c>
      <c r="AD911" s="167">
        <v>36312</v>
      </c>
    </row>
    <row r="912" spans="1:30" s="161" customFormat="1" ht="39.950000000000003" hidden="1" customHeight="1" outlineLevel="2" x14ac:dyDescent="0.25">
      <c r="A912" s="21"/>
      <c r="B912" s="21" t="s">
        <v>870</v>
      </c>
      <c r="C912" s="159" t="s">
        <v>1063</v>
      </c>
      <c r="D912" s="161">
        <v>33680</v>
      </c>
      <c r="E912" s="161">
        <v>212</v>
      </c>
      <c r="F912" s="161">
        <v>158</v>
      </c>
      <c r="G912" s="161" t="s">
        <v>1064</v>
      </c>
      <c r="H912" s="161" t="s">
        <v>183</v>
      </c>
      <c r="I912" s="161">
        <v>67</v>
      </c>
      <c r="J912" s="161" t="s">
        <v>105</v>
      </c>
      <c r="K912" s="21" t="s">
        <v>106</v>
      </c>
      <c r="L912" s="161" t="s">
        <v>3380</v>
      </c>
      <c r="M912" s="21" t="s">
        <v>107</v>
      </c>
      <c r="N912" s="161" t="s">
        <v>108</v>
      </c>
      <c r="O912" s="21" t="s">
        <v>68</v>
      </c>
      <c r="P912" s="161" t="s">
        <v>109</v>
      </c>
      <c r="Q912" s="21" t="s">
        <v>70</v>
      </c>
      <c r="R912" s="161">
        <v>70</v>
      </c>
      <c r="S912" s="161" t="s">
        <v>1043</v>
      </c>
      <c r="T912" s="161" t="s">
        <v>174</v>
      </c>
      <c r="U912" s="161" t="s">
        <v>73</v>
      </c>
      <c r="V912" s="21" t="s">
        <v>74</v>
      </c>
      <c r="W912" s="21" t="s">
        <v>762</v>
      </c>
      <c r="X912" s="161" t="s">
        <v>1044</v>
      </c>
      <c r="Y912" s="161">
        <v>2.0160000000000001E-2</v>
      </c>
      <c r="Z912" s="161">
        <v>7.2</v>
      </c>
      <c r="AA912" s="161" t="s">
        <v>144</v>
      </c>
      <c r="AB912" s="161" t="s">
        <v>114</v>
      </c>
      <c r="AC912" s="266" t="str">
        <f>HYPERLINK("https://gcsvt.ru/svetodiodnyie-svetilniki/SVT-STR-M-53W-65-QUATTRO-s-zashchitoy-ot-380/","Ссылка")</f>
        <v>Ссылка</v>
      </c>
      <c r="AD912" s="167">
        <v>36312</v>
      </c>
    </row>
    <row r="913" spans="1:30" s="161" customFormat="1" ht="39.950000000000003" hidden="1" customHeight="1" outlineLevel="2" x14ac:dyDescent="0.25">
      <c r="A913" s="21"/>
      <c r="B913" s="21" t="s">
        <v>870</v>
      </c>
      <c r="C913" s="159" t="s">
        <v>1065</v>
      </c>
      <c r="D913" s="161">
        <v>33680</v>
      </c>
      <c r="E913" s="161">
        <v>212</v>
      </c>
      <c r="F913" s="161">
        <v>158</v>
      </c>
      <c r="G913" s="161" t="s">
        <v>1066</v>
      </c>
      <c r="H913" s="161" t="s">
        <v>186</v>
      </c>
      <c r="I913" s="161">
        <v>67</v>
      </c>
      <c r="J913" s="161" t="s">
        <v>105</v>
      </c>
      <c r="K913" s="21" t="s">
        <v>106</v>
      </c>
      <c r="L913" s="161" t="s">
        <v>3380</v>
      </c>
      <c r="M913" s="21" t="s">
        <v>107</v>
      </c>
      <c r="N913" s="161" t="s">
        <v>108</v>
      </c>
      <c r="O913" s="21" t="s">
        <v>68</v>
      </c>
      <c r="P913" s="161" t="s">
        <v>109</v>
      </c>
      <c r="Q913" s="21" t="s">
        <v>70</v>
      </c>
      <c r="R913" s="161">
        <v>70</v>
      </c>
      <c r="S913" s="161" t="s">
        <v>1043</v>
      </c>
      <c r="T913" s="161" t="s">
        <v>174</v>
      </c>
      <c r="U913" s="161" t="s">
        <v>73</v>
      </c>
      <c r="V913" s="21" t="s">
        <v>74</v>
      </c>
      <c r="W913" s="21" t="s">
        <v>762</v>
      </c>
      <c r="X913" s="161" t="s">
        <v>1044</v>
      </c>
      <c r="Y913" s="161">
        <v>2.0160000000000001E-2</v>
      </c>
      <c r="Z913" s="161">
        <v>7.2</v>
      </c>
      <c r="AA913" s="161" t="s">
        <v>144</v>
      </c>
      <c r="AB913" s="161" t="s">
        <v>114</v>
      </c>
      <c r="AC913" s="266" t="str">
        <f>HYPERLINK("https://gcsvt.ru/svetodiodnyie-svetilniki/svt-str-m-53w-100-quattro-s-zashchitoy-ot-380/","Ссылка")</f>
        <v>Ссылка</v>
      </c>
      <c r="AD913" s="167">
        <v>36312</v>
      </c>
    </row>
    <row r="914" spans="1:30" s="161" customFormat="1" ht="39.950000000000003" hidden="1" customHeight="1" outlineLevel="2" x14ac:dyDescent="0.25">
      <c r="A914" s="21"/>
      <c r="B914" s="21" t="s">
        <v>870</v>
      </c>
      <c r="C914" s="159" t="s">
        <v>1067</v>
      </c>
      <c r="D914" s="161">
        <v>33680</v>
      </c>
      <c r="E914" s="161">
        <v>212</v>
      </c>
      <c r="F914" s="161">
        <v>158</v>
      </c>
      <c r="G914" s="161" t="s">
        <v>1068</v>
      </c>
      <c r="H914" s="161" t="s">
        <v>189</v>
      </c>
      <c r="I914" s="161">
        <v>67</v>
      </c>
      <c r="J914" s="161" t="s">
        <v>105</v>
      </c>
      <c r="K914" s="21" t="s">
        <v>106</v>
      </c>
      <c r="L914" s="161" t="s">
        <v>3380</v>
      </c>
      <c r="M914" s="21" t="s">
        <v>107</v>
      </c>
      <c r="N914" s="161" t="s">
        <v>108</v>
      </c>
      <c r="O914" s="21" t="s">
        <v>68</v>
      </c>
      <c r="P914" s="161" t="s">
        <v>109</v>
      </c>
      <c r="Q914" s="21" t="s">
        <v>70</v>
      </c>
      <c r="R914" s="161">
        <v>70</v>
      </c>
      <c r="S914" s="161" t="s">
        <v>1043</v>
      </c>
      <c r="T914" s="161" t="s">
        <v>174</v>
      </c>
      <c r="U914" s="161" t="s">
        <v>73</v>
      </c>
      <c r="V914" s="21" t="s">
        <v>74</v>
      </c>
      <c r="W914" s="21" t="s">
        <v>762</v>
      </c>
      <c r="X914" s="161" t="s">
        <v>1044</v>
      </c>
      <c r="Y914" s="161">
        <v>2.0160000000000001E-2</v>
      </c>
      <c r="Z914" s="161">
        <v>7.2</v>
      </c>
      <c r="AA914" s="161" t="s">
        <v>144</v>
      </c>
      <c r="AB914" s="161" t="s">
        <v>114</v>
      </c>
      <c r="AC914" s="266" t="str">
        <f>HYPERLINK("https://gcsvt.ru/svetodiodnyie-svetilniki/svt-str-m-53w-30x120-quattro-s-zashchitoy-ot-380/","Ссылка")</f>
        <v>Ссылка</v>
      </c>
      <c r="AD914" s="167">
        <v>36312</v>
      </c>
    </row>
    <row r="915" spans="1:30" s="161" customFormat="1" ht="39.950000000000003" hidden="1" customHeight="1" outlineLevel="2" x14ac:dyDescent="0.25">
      <c r="A915" s="21"/>
      <c r="B915" s="21" t="s">
        <v>870</v>
      </c>
      <c r="C915" s="159" t="s">
        <v>1069</v>
      </c>
      <c r="D915" s="161">
        <v>33680</v>
      </c>
      <c r="E915" s="161">
        <v>212</v>
      </c>
      <c r="F915" s="161">
        <v>158</v>
      </c>
      <c r="G915" s="161" t="s">
        <v>1070</v>
      </c>
      <c r="H915" s="161" t="s">
        <v>192</v>
      </c>
      <c r="I915" s="161">
        <v>67</v>
      </c>
      <c r="J915" s="161" t="s">
        <v>105</v>
      </c>
      <c r="K915" s="21" t="s">
        <v>106</v>
      </c>
      <c r="L915" s="161" t="s">
        <v>3380</v>
      </c>
      <c r="M915" s="21" t="s">
        <v>107</v>
      </c>
      <c r="N915" s="161" t="s">
        <v>108</v>
      </c>
      <c r="O915" s="21" t="s">
        <v>68</v>
      </c>
      <c r="P915" s="161" t="s">
        <v>109</v>
      </c>
      <c r="Q915" s="21" t="s">
        <v>70</v>
      </c>
      <c r="R915" s="161">
        <v>70</v>
      </c>
      <c r="S915" s="161" t="s">
        <v>1043</v>
      </c>
      <c r="T915" s="161" t="s">
        <v>174</v>
      </c>
      <c r="U915" s="161" t="s">
        <v>73</v>
      </c>
      <c r="V915" s="21" t="s">
        <v>74</v>
      </c>
      <c r="W915" s="21" t="s">
        <v>762</v>
      </c>
      <c r="X915" s="161" t="s">
        <v>1044</v>
      </c>
      <c r="Y915" s="161">
        <v>2.0160000000000001E-2</v>
      </c>
      <c r="Z915" s="161">
        <v>7.2</v>
      </c>
      <c r="AA915" s="161" t="s">
        <v>144</v>
      </c>
      <c r="AB915" s="161" t="s">
        <v>114</v>
      </c>
      <c r="AC915" s="266" t="str">
        <f>HYPERLINK("https://gcsvt.ru/svetodiodnyie-svetilniki/svt-str-m-53w-vsm-quattro-s-zashchitoy-ot-380/","Ссылка")</f>
        <v>Ссылка</v>
      </c>
      <c r="AD915" s="167">
        <v>36312</v>
      </c>
    </row>
    <row r="916" spans="1:30" s="161" customFormat="1" ht="39.950000000000003" hidden="1" customHeight="1" outlineLevel="2" x14ac:dyDescent="0.25">
      <c r="A916" s="21"/>
      <c r="B916" s="21" t="s">
        <v>870</v>
      </c>
      <c r="C916" s="159" t="s">
        <v>1071</v>
      </c>
      <c r="D916" s="161">
        <v>47800</v>
      </c>
      <c r="E916" s="161">
        <v>316</v>
      </c>
      <c r="F916" s="161">
        <v>151</v>
      </c>
      <c r="G916" s="161" t="s">
        <v>1072</v>
      </c>
      <c r="H916" s="161" t="s">
        <v>63</v>
      </c>
      <c r="I916" s="161">
        <v>67</v>
      </c>
      <c r="J916" s="161" t="s">
        <v>105</v>
      </c>
      <c r="K916" s="21" t="s">
        <v>106</v>
      </c>
      <c r="L916" s="161" t="s">
        <v>3380</v>
      </c>
      <c r="M916" s="21" t="s">
        <v>157</v>
      </c>
      <c r="N916" s="161" t="s">
        <v>67</v>
      </c>
      <c r="O916" s="21" t="s">
        <v>68</v>
      </c>
      <c r="P916" s="161" t="s">
        <v>109</v>
      </c>
      <c r="Q916" s="21" t="s">
        <v>70</v>
      </c>
      <c r="R916" s="161">
        <v>70</v>
      </c>
      <c r="S916" s="161" t="s">
        <v>1073</v>
      </c>
      <c r="T916" s="161" t="s">
        <v>174</v>
      </c>
      <c r="U916" s="161" t="s">
        <v>73</v>
      </c>
      <c r="V916" s="21" t="s">
        <v>74</v>
      </c>
      <c r="W916" s="21" t="s">
        <v>762</v>
      </c>
      <c r="X916" s="161" t="s">
        <v>1074</v>
      </c>
      <c r="Y916" s="161">
        <v>3.5520000000000003E-2</v>
      </c>
      <c r="Z916" s="161">
        <v>10.4</v>
      </c>
      <c r="AA916" s="161" t="s">
        <v>77</v>
      </c>
      <c r="AB916" s="161" t="s">
        <v>114</v>
      </c>
      <c r="AC916" s="266" t="str">
        <f>HYPERLINK("https://gcsvt.ru/svetodiodnyie-svetilniki/svt-str-m-79w-45x140-quattro/","Ссылка")</f>
        <v>Ссылка</v>
      </c>
      <c r="AD916" s="167">
        <v>54672</v>
      </c>
    </row>
    <row r="917" spans="1:30" s="161" customFormat="1" ht="39.950000000000003" hidden="1" customHeight="1" outlineLevel="2" x14ac:dyDescent="0.25">
      <c r="A917" s="21"/>
      <c r="B917" s="21" t="s">
        <v>870</v>
      </c>
      <c r="C917" s="159" t="s">
        <v>1075</v>
      </c>
      <c r="D917" s="161">
        <v>47800</v>
      </c>
      <c r="E917" s="161">
        <v>316</v>
      </c>
      <c r="F917" s="161">
        <v>151</v>
      </c>
      <c r="G917" s="161" t="s">
        <v>1076</v>
      </c>
      <c r="H917" s="161" t="s">
        <v>177</v>
      </c>
      <c r="I917" s="161">
        <v>67</v>
      </c>
      <c r="J917" s="161" t="s">
        <v>105</v>
      </c>
      <c r="K917" s="21" t="s">
        <v>106</v>
      </c>
      <c r="L917" s="161" t="s">
        <v>3380</v>
      </c>
      <c r="M917" s="21" t="s">
        <v>157</v>
      </c>
      <c r="N917" s="161" t="s">
        <v>67</v>
      </c>
      <c r="O917" s="21" t="s">
        <v>68</v>
      </c>
      <c r="P917" s="161" t="s">
        <v>109</v>
      </c>
      <c r="Q917" s="21" t="s">
        <v>70</v>
      </c>
      <c r="R917" s="161">
        <v>70</v>
      </c>
      <c r="S917" s="161" t="s">
        <v>1073</v>
      </c>
      <c r="T917" s="161" t="s">
        <v>174</v>
      </c>
      <c r="U917" s="161" t="s">
        <v>73</v>
      </c>
      <c r="V917" s="21" t="s">
        <v>74</v>
      </c>
      <c r="W917" s="21" t="s">
        <v>762</v>
      </c>
      <c r="X917" s="161" t="s">
        <v>1074</v>
      </c>
      <c r="Y917" s="161">
        <v>3.5520000000000003E-2</v>
      </c>
      <c r="Z917" s="161">
        <v>10.4</v>
      </c>
      <c r="AA917" s="161" t="s">
        <v>77</v>
      </c>
      <c r="AB917" s="161" t="s">
        <v>114</v>
      </c>
      <c r="AC917" s="266" t="str">
        <f>HYPERLINK("https://gcsvt.ru/svetodiodnyie-svetilniki/SVT-STR-M-79W-20-QUATTRO/","Ссылка")</f>
        <v>Ссылка</v>
      </c>
      <c r="AD917" s="167">
        <v>54672</v>
      </c>
    </row>
    <row r="918" spans="1:30" s="161" customFormat="1" ht="39.950000000000003" hidden="1" customHeight="1" outlineLevel="2" x14ac:dyDescent="0.25">
      <c r="A918" s="21"/>
      <c r="B918" s="21" t="s">
        <v>870</v>
      </c>
      <c r="C918" s="159" t="s">
        <v>1077</v>
      </c>
      <c r="D918" s="161">
        <v>47800</v>
      </c>
      <c r="E918" s="161">
        <v>316</v>
      </c>
      <c r="F918" s="161">
        <v>151</v>
      </c>
      <c r="G918" s="161" t="s">
        <v>1078</v>
      </c>
      <c r="H918" s="161" t="s">
        <v>180</v>
      </c>
      <c r="I918" s="161">
        <v>67</v>
      </c>
      <c r="J918" s="161" t="s">
        <v>105</v>
      </c>
      <c r="K918" s="21" t="s">
        <v>106</v>
      </c>
      <c r="L918" s="161" t="s">
        <v>3380</v>
      </c>
      <c r="M918" s="21" t="s">
        <v>157</v>
      </c>
      <c r="N918" s="161" t="s">
        <v>67</v>
      </c>
      <c r="O918" s="21" t="s">
        <v>68</v>
      </c>
      <c r="P918" s="161" t="s">
        <v>109</v>
      </c>
      <c r="Q918" s="21" t="s">
        <v>70</v>
      </c>
      <c r="R918" s="161">
        <v>70</v>
      </c>
      <c r="S918" s="161" t="s">
        <v>1073</v>
      </c>
      <c r="T918" s="161" t="s">
        <v>174</v>
      </c>
      <c r="U918" s="161" t="s">
        <v>73</v>
      </c>
      <c r="V918" s="21" t="s">
        <v>74</v>
      </c>
      <c r="W918" s="21" t="s">
        <v>762</v>
      </c>
      <c r="X918" s="161" t="s">
        <v>1074</v>
      </c>
      <c r="Y918" s="161">
        <v>3.5520000000000003E-2</v>
      </c>
      <c r="Z918" s="161">
        <v>10.4</v>
      </c>
      <c r="AA918" s="161" t="s">
        <v>77</v>
      </c>
      <c r="AB918" s="161" t="s">
        <v>114</v>
      </c>
      <c r="AC918" s="266" t="str">
        <f>HYPERLINK("https://gcsvt.ru/svetodiodnyie-svetilniki/SVT-STR-M-79W-35-QUATTRO/","Ссылка")</f>
        <v>Ссылка</v>
      </c>
      <c r="AD918" s="167">
        <v>54672</v>
      </c>
    </row>
    <row r="919" spans="1:30" s="161" customFormat="1" ht="39.950000000000003" hidden="1" customHeight="1" outlineLevel="2" x14ac:dyDescent="0.25">
      <c r="A919" s="21"/>
      <c r="B919" s="21" t="s">
        <v>870</v>
      </c>
      <c r="C919" s="159" t="s">
        <v>1079</v>
      </c>
      <c r="D919" s="161">
        <v>47800</v>
      </c>
      <c r="E919" s="161">
        <v>316</v>
      </c>
      <c r="F919" s="161">
        <v>151</v>
      </c>
      <c r="G919" s="161" t="s">
        <v>1080</v>
      </c>
      <c r="H919" s="161" t="s">
        <v>183</v>
      </c>
      <c r="I919" s="161">
        <v>67</v>
      </c>
      <c r="J919" s="161" t="s">
        <v>105</v>
      </c>
      <c r="K919" s="21" t="s">
        <v>106</v>
      </c>
      <c r="L919" s="161" t="s">
        <v>3380</v>
      </c>
      <c r="M919" s="21" t="s">
        <v>157</v>
      </c>
      <c r="N919" s="161" t="s">
        <v>67</v>
      </c>
      <c r="O919" s="21" t="s">
        <v>68</v>
      </c>
      <c r="P919" s="161" t="s">
        <v>109</v>
      </c>
      <c r="Q919" s="21" t="s">
        <v>70</v>
      </c>
      <c r="R919" s="161">
        <v>70</v>
      </c>
      <c r="S919" s="161" t="s">
        <v>1073</v>
      </c>
      <c r="T919" s="161" t="s">
        <v>174</v>
      </c>
      <c r="U919" s="161" t="s">
        <v>73</v>
      </c>
      <c r="V919" s="21" t="s">
        <v>74</v>
      </c>
      <c r="W919" s="21" t="s">
        <v>762</v>
      </c>
      <c r="X919" s="161" t="s">
        <v>1074</v>
      </c>
      <c r="Y919" s="161">
        <v>3.5520000000000003E-2</v>
      </c>
      <c r="Z919" s="161">
        <v>10.4</v>
      </c>
      <c r="AA919" s="161" t="s">
        <v>77</v>
      </c>
      <c r="AB919" s="161" t="s">
        <v>114</v>
      </c>
      <c r="AC919" s="266" t="str">
        <f>HYPERLINK("https://gcsvt.ru/svetodiodnyie-svetilniki/SVT-STR-M-79W-65-QUATTRO/","Ссылка")</f>
        <v>Ссылка</v>
      </c>
      <c r="AD919" s="167">
        <v>54672</v>
      </c>
    </row>
    <row r="920" spans="1:30" s="161" customFormat="1" ht="39.950000000000003" hidden="1" customHeight="1" outlineLevel="2" x14ac:dyDescent="0.25">
      <c r="A920" s="21"/>
      <c r="B920" s="21" t="s">
        <v>870</v>
      </c>
      <c r="C920" s="159" t="s">
        <v>1081</v>
      </c>
      <c r="D920" s="161">
        <v>47800</v>
      </c>
      <c r="E920" s="161">
        <v>316</v>
      </c>
      <c r="F920" s="161">
        <v>151</v>
      </c>
      <c r="G920" s="161" t="s">
        <v>1082</v>
      </c>
      <c r="H920" s="161" t="s">
        <v>186</v>
      </c>
      <c r="I920" s="161">
        <v>67</v>
      </c>
      <c r="J920" s="161" t="s">
        <v>105</v>
      </c>
      <c r="K920" s="21" t="s">
        <v>106</v>
      </c>
      <c r="L920" s="161" t="s">
        <v>3380</v>
      </c>
      <c r="M920" s="21" t="s">
        <v>157</v>
      </c>
      <c r="N920" s="161" t="s">
        <v>67</v>
      </c>
      <c r="O920" s="21" t="s">
        <v>68</v>
      </c>
      <c r="P920" s="161" t="s">
        <v>109</v>
      </c>
      <c r="Q920" s="21" t="s">
        <v>70</v>
      </c>
      <c r="R920" s="161">
        <v>70</v>
      </c>
      <c r="S920" s="161" t="s">
        <v>1073</v>
      </c>
      <c r="T920" s="161" t="s">
        <v>174</v>
      </c>
      <c r="U920" s="161" t="s">
        <v>73</v>
      </c>
      <c r="V920" s="21" t="s">
        <v>74</v>
      </c>
      <c r="W920" s="21" t="s">
        <v>762</v>
      </c>
      <c r="X920" s="161" t="s">
        <v>1074</v>
      </c>
      <c r="Y920" s="161">
        <v>3.5520000000000003E-2</v>
      </c>
      <c r="Z920" s="161">
        <v>10.4</v>
      </c>
      <c r="AA920" s="161" t="s">
        <v>77</v>
      </c>
      <c r="AB920" s="161" t="s">
        <v>114</v>
      </c>
      <c r="AC920" s="266" t="str">
        <f>HYPERLINK("https://gcsvt.ru/svetodiodnyie-svetilniki/svt-str-m-79w-100-quattro/","Ссылка")</f>
        <v>Ссылка</v>
      </c>
      <c r="AD920" s="167">
        <v>54672</v>
      </c>
    </row>
    <row r="921" spans="1:30" s="161" customFormat="1" ht="39.950000000000003" hidden="1" customHeight="1" outlineLevel="2" x14ac:dyDescent="0.25">
      <c r="A921" s="21"/>
      <c r="B921" s="21" t="s">
        <v>870</v>
      </c>
      <c r="C921" s="159" t="s">
        <v>1083</v>
      </c>
      <c r="D921" s="161">
        <v>47800</v>
      </c>
      <c r="E921" s="161">
        <v>316</v>
      </c>
      <c r="F921" s="161">
        <v>151</v>
      </c>
      <c r="G921" s="161" t="s">
        <v>1084</v>
      </c>
      <c r="H921" s="161" t="s">
        <v>189</v>
      </c>
      <c r="I921" s="161">
        <v>67</v>
      </c>
      <c r="J921" s="161" t="s">
        <v>105</v>
      </c>
      <c r="K921" s="21" t="s">
        <v>106</v>
      </c>
      <c r="L921" s="161" t="s">
        <v>3380</v>
      </c>
      <c r="M921" s="21" t="s">
        <v>157</v>
      </c>
      <c r="N921" s="161" t="s">
        <v>67</v>
      </c>
      <c r="O921" s="21" t="s">
        <v>68</v>
      </c>
      <c r="P921" s="161" t="s">
        <v>109</v>
      </c>
      <c r="Q921" s="21" t="s">
        <v>70</v>
      </c>
      <c r="R921" s="161">
        <v>70</v>
      </c>
      <c r="S921" s="161" t="s">
        <v>1073</v>
      </c>
      <c r="T921" s="161" t="s">
        <v>174</v>
      </c>
      <c r="U921" s="161" t="s">
        <v>73</v>
      </c>
      <c r="V921" s="21" t="s">
        <v>74</v>
      </c>
      <c r="W921" s="21" t="s">
        <v>762</v>
      </c>
      <c r="X921" s="161" t="s">
        <v>1074</v>
      </c>
      <c r="Y921" s="161">
        <v>3.5520000000000003E-2</v>
      </c>
      <c r="Z921" s="161">
        <v>10.4</v>
      </c>
      <c r="AA921" s="161" t="s">
        <v>77</v>
      </c>
      <c r="AB921" s="161" t="s">
        <v>114</v>
      </c>
      <c r="AC921" s="266" t="str">
        <f>HYPERLINK("https://gcsvt.ru/svetodiodnyie-svetilniki/svt-str-m-79w-30x120-quattro/","Ссылка")</f>
        <v>Ссылка</v>
      </c>
      <c r="AD921" s="167">
        <v>54672</v>
      </c>
    </row>
    <row r="922" spans="1:30" s="161" customFormat="1" ht="39.950000000000003" hidden="1" customHeight="1" outlineLevel="2" x14ac:dyDescent="0.25">
      <c r="A922" s="21"/>
      <c r="B922" s="21" t="s">
        <v>870</v>
      </c>
      <c r="C922" s="159" t="s">
        <v>1085</v>
      </c>
      <c r="D922" s="161">
        <v>47800</v>
      </c>
      <c r="E922" s="161">
        <v>316</v>
      </c>
      <c r="F922" s="161">
        <v>151</v>
      </c>
      <c r="G922" s="161" t="s">
        <v>1086</v>
      </c>
      <c r="H922" s="161" t="s">
        <v>192</v>
      </c>
      <c r="I922" s="161">
        <v>67</v>
      </c>
      <c r="J922" s="161" t="s">
        <v>105</v>
      </c>
      <c r="K922" s="21" t="s">
        <v>106</v>
      </c>
      <c r="L922" s="161" t="s">
        <v>3380</v>
      </c>
      <c r="M922" s="21" t="s">
        <v>157</v>
      </c>
      <c r="N922" s="161" t="s">
        <v>67</v>
      </c>
      <c r="O922" s="21" t="s">
        <v>68</v>
      </c>
      <c r="P922" s="161" t="s">
        <v>109</v>
      </c>
      <c r="Q922" s="21" t="s">
        <v>70</v>
      </c>
      <c r="R922" s="161">
        <v>70</v>
      </c>
      <c r="S922" s="161" t="s">
        <v>1073</v>
      </c>
      <c r="T922" s="161" t="s">
        <v>174</v>
      </c>
      <c r="U922" s="161" t="s">
        <v>73</v>
      </c>
      <c r="V922" s="21" t="s">
        <v>74</v>
      </c>
      <c r="W922" s="21" t="s">
        <v>762</v>
      </c>
      <c r="X922" s="161" t="s">
        <v>1074</v>
      </c>
      <c r="Y922" s="161">
        <v>3.5520000000000003E-2</v>
      </c>
      <c r="Z922" s="161">
        <v>10.4</v>
      </c>
      <c r="AA922" s="161" t="s">
        <v>77</v>
      </c>
      <c r="AB922" s="161" t="s">
        <v>114</v>
      </c>
      <c r="AC922" s="266" t="str">
        <f>HYPERLINK("https://gcsvt.ru/svetodiodnyie-svetilniki/svt-str-m-79w-vsm-quattro/","Ссылка")</f>
        <v>Ссылка</v>
      </c>
      <c r="AD922" s="167">
        <v>54672</v>
      </c>
    </row>
    <row r="923" spans="1:30" s="161" customFormat="1" ht="39.950000000000003" hidden="1" customHeight="1" outlineLevel="2" x14ac:dyDescent="0.25">
      <c r="A923" s="21"/>
      <c r="B923" s="21" t="s">
        <v>870</v>
      </c>
      <c r="C923" s="159" t="s">
        <v>1087</v>
      </c>
      <c r="D923" s="161">
        <v>42100</v>
      </c>
      <c r="E923" s="161">
        <v>265</v>
      </c>
      <c r="F923" s="161">
        <v>158</v>
      </c>
      <c r="G923" s="161" t="s">
        <v>1088</v>
      </c>
      <c r="H923" s="161" t="s">
        <v>63</v>
      </c>
      <c r="I923" s="161">
        <v>67</v>
      </c>
      <c r="J923" s="161" t="s">
        <v>105</v>
      </c>
      <c r="K923" s="21" t="s">
        <v>106</v>
      </c>
      <c r="L923" s="161" t="s">
        <v>3380</v>
      </c>
      <c r="M923" s="21" t="s">
        <v>568</v>
      </c>
      <c r="N923" s="161" t="s">
        <v>108</v>
      </c>
      <c r="O923" s="21" t="s">
        <v>68</v>
      </c>
      <c r="P923" s="161" t="s">
        <v>109</v>
      </c>
      <c r="Q923" s="21" t="s">
        <v>70</v>
      </c>
      <c r="R923" s="161">
        <v>70</v>
      </c>
      <c r="S923" s="161" t="s">
        <v>1089</v>
      </c>
      <c r="T923" s="161" t="s">
        <v>174</v>
      </c>
      <c r="U923" s="161" t="s">
        <v>73</v>
      </c>
      <c r="V923" s="21" t="s">
        <v>74</v>
      </c>
      <c r="W923" s="21" t="s">
        <v>762</v>
      </c>
      <c r="X923" s="161" t="s">
        <v>1090</v>
      </c>
      <c r="Y923" s="161">
        <v>0.03</v>
      </c>
      <c r="Z923" s="161">
        <v>9</v>
      </c>
      <c r="AA923" s="161" t="s">
        <v>144</v>
      </c>
      <c r="AB923" s="161" t="s">
        <v>114</v>
      </c>
      <c r="AC923" s="266" t="str">
        <f>HYPERLINK("https://gcsvt.ru/svetodiodnyie-svetilniki/svt-str-m-53w-45x140-penta/","Ссылка")</f>
        <v>Ссылка</v>
      </c>
      <c r="AD923" s="167">
        <v>43350</v>
      </c>
    </row>
    <row r="924" spans="1:30" s="161" customFormat="1" ht="39.950000000000003" hidden="1" customHeight="1" outlineLevel="2" x14ac:dyDescent="0.25">
      <c r="A924" s="21"/>
      <c r="B924" s="21" t="s">
        <v>870</v>
      </c>
      <c r="C924" s="159" t="s">
        <v>1091</v>
      </c>
      <c r="D924" s="161">
        <v>42100</v>
      </c>
      <c r="E924" s="161">
        <v>265</v>
      </c>
      <c r="F924" s="161">
        <v>158</v>
      </c>
      <c r="G924" s="161" t="s">
        <v>1092</v>
      </c>
      <c r="H924" s="161" t="s">
        <v>177</v>
      </c>
      <c r="I924" s="161">
        <v>67</v>
      </c>
      <c r="J924" s="161" t="s">
        <v>105</v>
      </c>
      <c r="K924" s="21" t="s">
        <v>106</v>
      </c>
      <c r="L924" s="161" t="s">
        <v>3380</v>
      </c>
      <c r="M924" s="21" t="s">
        <v>568</v>
      </c>
      <c r="N924" s="161" t="s">
        <v>108</v>
      </c>
      <c r="O924" s="21" t="s">
        <v>68</v>
      </c>
      <c r="P924" s="161" t="s">
        <v>109</v>
      </c>
      <c r="Q924" s="21" t="s">
        <v>70</v>
      </c>
      <c r="R924" s="161">
        <v>70</v>
      </c>
      <c r="S924" s="161" t="s">
        <v>1089</v>
      </c>
      <c r="T924" s="161" t="s">
        <v>174</v>
      </c>
      <c r="U924" s="161" t="s">
        <v>73</v>
      </c>
      <c r="V924" s="21" t="s">
        <v>74</v>
      </c>
      <c r="W924" s="21" t="s">
        <v>762</v>
      </c>
      <c r="X924" s="161" t="s">
        <v>1090</v>
      </c>
      <c r="Y924" s="161">
        <v>0.03</v>
      </c>
      <c r="Z924" s="161">
        <v>9</v>
      </c>
      <c r="AA924" s="161" t="s">
        <v>144</v>
      </c>
      <c r="AB924" s="161" t="s">
        <v>114</v>
      </c>
      <c r="AC924" s="266" t="str">
        <f>HYPERLINK("https://gcsvt.ru/svetodiodnyie-svetilniki/SVT-STR-M-53W-20-PENTA/","Ссылка")</f>
        <v>Ссылка</v>
      </c>
      <c r="AD924" s="167">
        <v>43350</v>
      </c>
    </row>
    <row r="925" spans="1:30" s="161" customFormat="1" ht="39.950000000000003" hidden="1" customHeight="1" outlineLevel="2" x14ac:dyDescent="0.25">
      <c r="A925" s="21"/>
      <c r="B925" s="21" t="s">
        <v>870</v>
      </c>
      <c r="C925" s="159" t="s">
        <v>1093</v>
      </c>
      <c r="D925" s="161">
        <v>42100</v>
      </c>
      <c r="E925" s="161">
        <v>265</v>
      </c>
      <c r="F925" s="161">
        <v>158</v>
      </c>
      <c r="G925" s="161" t="s">
        <v>1094</v>
      </c>
      <c r="H925" s="161" t="s">
        <v>180</v>
      </c>
      <c r="I925" s="161">
        <v>67</v>
      </c>
      <c r="J925" s="161" t="s">
        <v>105</v>
      </c>
      <c r="K925" s="21" t="s">
        <v>106</v>
      </c>
      <c r="L925" s="161" t="s">
        <v>3380</v>
      </c>
      <c r="M925" s="21" t="s">
        <v>568</v>
      </c>
      <c r="N925" s="161" t="s">
        <v>108</v>
      </c>
      <c r="O925" s="21" t="s">
        <v>68</v>
      </c>
      <c r="P925" s="161" t="s">
        <v>109</v>
      </c>
      <c r="Q925" s="21" t="s">
        <v>70</v>
      </c>
      <c r="R925" s="161">
        <v>70</v>
      </c>
      <c r="S925" s="161" t="s">
        <v>1089</v>
      </c>
      <c r="T925" s="161" t="s">
        <v>174</v>
      </c>
      <c r="U925" s="161" t="s">
        <v>73</v>
      </c>
      <c r="V925" s="21" t="s">
        <v>74</v>
      </c>
      <c r="W925" s="21" t="s">
        <v>762</v>
      </c>
      <c r="X925" s="161" t="s">
        <v>1090</v>
      </c>
      <c r="Y925" s="161">
        <v>0.03</v>
      </c>
      <c r="Z925" s="161">
        <v>9</v>
      </c>
      <c r="AA925" s="161" t="s">
        <v>144</v>
      </c>
      <c r="AB925" s="161" t="s">
        <v>114</v>
      </c>
      <c r="AC925" s="266" t="str">
        <f>HYPERLINK("https://gcsvt.ru/svetodiodnyie-svetilniki/SVT-STR-M-53W-35-PENTA/","Ссылка")</f>
        <v>Ссылка</v>
      </c>
      <c r="AD925" s="167">
        <v>43350</v>
      </c>
    </row>
    <row r="926" spans="1:30" s="161" customFormat="1" ht="39.950000000000003" hidden="1" customHeight="1" outlineLevel="2" x14ac:dyDescent="0.25">
      <c r="A926" s="21"/>
      <c r="B926" s="21" t="s">
        <v>870</v>
      </c>
      <c r="C926" s="159" t="s">
        <v>1095</v>
      </c>
      <c r="D926" s="161">
        <v>42100</v>
      </c>
      <c r="E926" s="161">
        <v>265</v>
      </c>
      <c r="F926" s="161">
        <v>158</v>
      </c>
      <c r="G926" s="161" t="s">
        <v>1096</v>
      </c>
      <c r="H926" s="161" t="s">
        <v>183</v>
      </c>
      <c r="I926" s="161">
        <v>67</v>
      </c>
      <c r="J926" s="161" t="s">
        <v>105</v>
      </c>
      <c r="K926" s="21" t="s">
        <v>106</v>
      </c>
      <c r="L926" s="161" t="s">
        <v>3380</v>
      </c>
      <c r="M926" s="21" t="s">
        <v>568</v>
      </c>
      <c r="N926" s="161" t="s">
        <v>108</v>
      </c>
      <c r="O926" s="21" t="s">
        <v>68</v>
      </c>
      <c r="P926" s="161" t="s">
        <v>109</v>
      </c>
      <c r="Q926" s="21" t="s">
        <v>70</v>
      </c>
      <c r="R926" s="161">
        <v>70</v>
      </c>
      <c r="S926" s="161" t="s">
        <v>1089</v>
      </c>
      <c r="T926" s="161" t="s">
        <v>174</v>
      </c>
      <c r="U926" s="161" t="s">
        <v>73</v>
      </c>
      <c r="V926" s="21" t="s">
        <v>74</v>
      </c>
      <c r="W926" s="21" t="s">
        <v>762</v>
      </c>
      <c r="X926" s="161" t="s">
        <v>1090</v>
      </c>
      <c r="Y926" s="161">
        <v>0.03</v>
      </c>
      <c r="Z926" s="161">
        <v>9</v>
      </c>
      <c r="AA926" s="161" t="s">
        <v>144</v>
      </c>
      <c r="AB926" s="161" t="s">
        <v>114</v>
      </c>
      <c r="AC926" s="266" t="str">
        <f>HYPERLINK("https://gcsvt.ru/svetodiodnyie-svetilniki/SVT-STR-M-53W-65-PENTA/","Ссылка")</f>
        <v>Ссылка</v>
      </c>
      <c r="AD926" s="167">
        <v>43350</v>
      </c>
    </row>
    <row r="927" spans="1:30" s="161" customFormat="1" ht="39.950000000000003" hidden="1" customHeight="1" outlineLevel="2" x14ac:dyDescent="0.25">
      <c r="A927" s="21"/>
      <c r="B927" s="21" t="s">
        <v>870</v>
      </c>
      <c r="C927" s="159" t="s">
        <v>1097</v>
      </c>
      <c r="D927" s="161">
        <v>42100</v>
      </c>
      <c r="E927" s="161">
        <v>265</v>
      </c>
      <c r="F927" s="161">
        <v>158</v>
      </c>
      <c r="G927" s="161" t="s">
        <v>1098</v>
      </c>
      <c r="H927" s="161" t="s">
        <v>186</v>
      </c>
      <c r="I927" s="161">
        <v>67</v>
      </c>
      <c r="J927" s="161" t="s">
        <v>105</v>
      </c>
      <c r="K927" s="21" t="s">
        <v>106</v>
      </c>
      <c r="L927" s="161" t="s">
        <v>3380</v>
      </c>
      <c r="M927" s="21" t="s">
        <v>568</v>
      </c>
      <c r="N927" s="161" t="s">
        <v>108</v>
      </c>
      <c r="O927" s="21" t="s">
        <v>68</v>
      </c>
      <c r="P927" s="161" t="s">
        <v>109</v>
      </c>
      <c r="Q927" s="21" t="s">
        <v>70</v>
      </c>
      <c r="R927" s="161">
        <v>70</v>
      </c>
      <c r="S927" s="161" t="s">
        <v>1089</v>
      </c>
      <c r="T927" s="161" t="s">
        <v>174</v>
      </c>
      <c r="U927" s="161" t="s">
        <v>73</v>
      </c>
      <c r="V927" s="21" t="s">
        <v>74</v>
      </c>
      <c r="W927" s="21" t="s">
        <v>762</v>
      </c>
      <c r="X927" s="161" t="s">
        <v>1090</v>
      </c>
      <c r="Y927" s="161">
        <v>0.03</v>
      </c>
      <c r="Z927" s="161">
        <v>9</v>
      </c>
      <c r="AA927" s="161" t="s">
        <v>144</v>
      </c>
      <c r="AB927" s="161" t="s">
        <v>114</v>
      </c>
      <c r="AC927" s="266" t="str">
        <f>HYPERLINK("https://gcsvt.ru/svetodiodnyie-svetilniki/svt-str-m-53w-100-penta/","Ссылка")</f>
        <v>Ссылка</v>
      </c>
      <c r="AD927" s="167">
        <v>43350</v>
      </c>
    </row>
    <row r="928" spans="1:30" s="161" customFormat="1" ht="39.950000000000003" hidden="1" customHeight="1" outlineLevel="2" x14ac:dyDescent="0.25">
      <c r="A928" s="21"/>
      <c r="B928" s="21" t="s">
        <v>870</v>
      </c>
      <c r="C928" s="159" t="s">
        <v>1099</v>
      </c>
      <c r="D928" s="161">
        <v>42100</v>
      </c>
      <c r="E928" s="161">
        <v>265</v>
      </c>
      <c r="F928" s="161">
        <v>158</v>
      </c>
      <c r="G928" s="161" t="s">
        <v>1100</v>
      </c>
      <c r="H928" s="161" t="s">
        <v>189</v>
      </c>
      <c r="I928" s="161">
        <v>67</v>
      </c>
      <c r="J928" s="161" t="s">
        <v>105</v>
      </c>
      <c r="K928" s="21" t="s">
        <v>106</v>
      </c>
      <c r="L928" s="161" t="s">
        <v>3380</v>
      </c>
      <c r="M928" s="21" t="s">
        <v>568</v>
      </c>
      <c r="N928" s="161" t="s">
        <v>108</v>
      </c>
      <c r="O928" s="21" t="s">
        <v>68</v>
      </c>
      <c r="P928" s="161" t="s">
        <v>109</v>
      </c>
      <c r="Q928" s="21" t="s">
        <v>70</v>
      </c>
      <c r="R928" s="161">
        <v>70</v>
      </c>
      <c r="S928" s="161" t="s">
        <v>1089</v>
      </c>
      <c r="T928" s="161" t="s">
        <v>174</v>
      </c>
      <c r="U928" s="161" t="s">
        <v>73</v>
      </c>
      <c r="V928" s="21" t="s">
        <v>74</v>
      </c>
      <c r="W928" s="21" t="s">
        <v>762</v>
      </c>
      <c r="X928" s="161" t="s">
        <v>1090</v>
      </c>
      <c r="Y928" s="161">
        <v>0.03</v>
      </c>
      <c r="Z928" s="161">
        <v>9</v>
      </c>
      <c r="AA928" s="161" t="s">
        <v>144</v>
      </c>
      <c r="AB928" s="161" t="s">
        <v>114</v>
      </c>
      <c r="AC928" s="266" t="str">
        <f>HYPERLINK("https://gcsvt.ru/svetodiodnyie-svetilniki/svt-str-m-53w-30x120-penta/","Ссылка")</f>
        <v>Ссылка</v>
      </c>
      <c r="AD928" s="167">
        <v>43350</v>
      </c>
    </row>
    <row r="929" spans="1:30" s="161" customFormat="1" ht="39.950000000000003" hidden="1" customHeight="1" outlineLevel="2" x14ac:dyDescent="0.25">
      <c r="A929" s="21"/>
      <c r="B929" s="21" t="s">
        <v>870</v>
      </c>
      <c r="C929" s="159" t="s">
        <v>1101</v>
      </c>
      <c r="D929" s="161">
        <v>42100</v>
      </c>
      <c r="E929" s="161">
        <v>265</v>
      </c>
      <c r="F929" s="161">
        <v>158</v>
      </c>
      <c r="G929" s="161" t="s">
        <v>1102</v>
      </c>
      <c r="H929" s="161" t="s">
        <v>192</v>
      </c>
      <c r="I929" s="161">
        <v>67</v>
      </c>
      <c r="J929" s="161" t="s">
        <v>105</v>
      </c>
      <c r="K929" s="21" t="s">
        <v>106</v>
      </c>
      <c r="L929" s="161" t="s">
        <v>3380</v>
      </c>
      <c r="M929" s="21" t="s">
        <v>568</v>
      </c>
      <c r="N929" s="161" t="s">
        <v>108</v>
      </c>
      <c r="O929" s="21" t="s">
        <v>68</v>
      </c>
      <c r="P929" s="161" t="s">
        <v>109</v>
      </c>
      <c r="Q929" s="21" t="s">
        <v>70</v>
      </c>
      <c r="R929" s="161">
        <v>70</v>
      </c>
      <c r="S929" s="161" t="s">
        <v>1089</v>
      </c>
      <c r="T929" s="161" t="s">
        <v>174</v>
      </c>
      <c r="U929" s="161" t="s">
        <v>73</v>
      </c>
      <c r="V929" s="21" t="s">
        <v>74</v>
      </c>
      <c r="W929" s="21" t="s">
        <v>762</v>
      </c>
      <c r="X929" s="161" t="s">
        <v>1090</v>
      </c>
      <c r="Y929" s="161">
        <v>0.03</v>
      </c>
      <c r="Z929" s="161">
        <v>9</v>
      </c>
      <c r="AA929" s="161" t="s">
        <v>144</v>
      </c>
      <c r="AB929" s="161" t="s">
        <v>114</v>
      </c>
      <c r="AC929" s="266" t="str">
        <f>HYPERLINK("https://gcsvt.ru/svetodiodnyie-svetilniki/svt-str-m-53w-vsm-penta/","Ссылка")</f>
        <v>Ссылка</v>
      </c>
      <c r="AD929" s="167">
        <v>43350</v>
      </c>
    </row>
    <row r="930" spans="1:30" s="161" customFormat="1" ht="39.950000000000003" hidden="1" customHeight="1" outlineLevel="2" x14ac:dyDescent="0.25">
      <c r="A930" s="21"/>
      <c r="B930" s="21" t="s">
        <v>870</v>
      </c>
      <c r="C930" s="159" t="s">
        <v>1103</v>
      </c>
      <c r="D930" s="161">
        <v>42100</v>
      </c>
      <c r="E930" s="161">
        <v>265</v>
      </c>
      <c r="F930" s="161">
        <v>158</v>
      </c>
      <c r="G930" s="161" t="s">
        <v>1104</v>
      </c>
      <c r="H930" s="161" t="s">
        <v>63</v>
      </c>
      <c r="I930" s="161">
        <v>67</v>
      </c>
      <c r="J930" s="161" t="s">
        <v>105</v>
      </c>
      <c r="K930" s="21" t="s">
        <v>106</v>
      </c>
      <c r="L930" s="161" t="s">
        <v>3380</v>
      </c>
      <c r="M930" s="21" t="s">
        <v>107</v>
      </c>
      <c r="N930" s="161" t="s">
        <v>108</v>
      </c>
      <c r="O930" s="21" t="s">
        <v>68</v>
      </c>
      <c r="P930" s="161" t="s">
        <v>109</v>
      </c>
      <c r="Q930" s="21" t="s">
        <v>70</v>
      </c>
      <c r="R930" s="161">
        <v>70</v>
      </c>
      <c r="S930" s="161" t="s">
        <v>1089</v>
      </c>
      <c r="T930" s="161" t="s">
        <v>174</v>
      </c>
      <c r="U930" s="161" t="s">
        <v>73</v>
      </c>
      <c r="V930" s="21" t="s">
        <v>74</v>
      </c>
      <c r="W930" s="21" t="s">
        <v>762</v>
      </c>
      <c r="X930" s="161" t="s">
        <v>1090</v>
      </c>
      <c r="Y930" s="161">
        <v>0.03</v>
      </c>
      <c r="Z930" s="161">
        <v>9</v>
      </c>
      <c r="AA930" s="161" t="s">
        <v>144</v>
      </c>
      <c r="AB930" s="161" t="s">
        <v>114</v>
      </c>
      <c r="AC930" s="266" t="str">
        <f>HYPERLINK("https://gcsvt.ru/svetodiodnyie-svetilniki/svt-str-m-53w-45x140-penta-s-zashchitoy-ot-380/","Ссылка")</f>
        <v>Ссылка</v>
      </c>
      <c r="AD930" s="167">
        <v>45390</v>
      </c>
    </row>
    <row r="931" spans="1:30" s="161" customFormat="1" ht="39.950000000000003" hidden="1" customHeight="1" outlineLevel="2" x14ac:dyDescent="0.25">
      <c r="A931" s="21"/>
      <c r="B931" s="21" t="s">
        <v>870</v>
      </c>
      <c r="C931" s="159" t="s">
        <v>1105</v>
      </c>
      <c r="D931" s="161">
        <v>42100</v>
      </c>
      <c r="E931" s="161">
        <v>265</v>
      </c>
      <c r="F931" s="161">
        <v>158</v>
      </c>
      <c r="G931" s="161" t="s">
        <v>1106</v>
      </c>
      <c r="H931" s="161" t="s">
        <v>177</v>
      </c>
      <c r="I931" s="161">
        <v>67</v>
      </c>
      <c r="J931" s="161" t="s">
        <v>105</v>
      </c>
      <c r="K931" s="21" t="s">
        <v>106</v>
      </c>
      <c r="L931" s="161" t="s">
        <v>3380</v>
      </c>
      <c r="M931" s="21" t="s">
        <v>107</v>
      </c>
      <c r="N931" s="161" t="s">
        <v>108</v>
      </c>
      <c r="O931" s="21" t="s">
        <v>68</v>
      </c>
      <c r="P931" s="161" t="s">
        <v>109</v>
      </c>
      <c r="Q931" s="21" t="s">
        <v>70</v>
      </c>
      <c r="R931" s="161">
        <v>70</v>
      </c>
      <c r="S931" s="161" t="s">
        <v>1089</v>
      </c>
      <c r="T931" s="161" t="s">
        <v>174</v>
      </c>
      <c r="U931" s="161" t="s">
        <v>73</v>
      </c>
      <c r="V931" s="21" t="s">
        <v>74</v>
      </c>
      <c r="W931" s="21" t="s">
        <v>762</v>
      </c>
      <c r="X931" s="161" t="s">
        <v>1090</v>
      </c>
      <c r="Y931" s="161">
        <v>0.03</v>
      </c>
      <c r="Z931" s="161">
        <v>9</v>
      </c>
      <c r="AA931" s="161" t="s">
        <v>144</v>
      </c>
      <c r="AB931" s="161" t="s">
        <v>114</v>
      </c>
      <c r="AC931" s="266" t="str">
        <f>HYPERLINK("https://gcsvt.ru/svetodiodnyie-svetilniki/SVT-STR-M-53W-20-PENTA-s-zashchitoy-ot-380/","Ссылка")</f>
        <v>Ссылка</v>
      </c>
      <c r="AD931" s="167">
        <v>45390</v>
      </c>
    </row>
    <row r="932" spans="1:30" s="161" customFormat="1" ht="39.950000000000003" hidden="1" customHeight="1" outlineLevel="2" x14ac:dyDescent="0.25">
      <c r="A932" s="21"/>
      <c r="B932" s="21" t="s">
        <v>870</v>
      </c>
      <c r="C932" s="159" t="s">
        <v>1107</v>
      </c>
      <c r="D932" s="161">
        <v>42100</v>
      </c>
      <c r="E932" s="161">
        <v>265</v>
      </c>
      <c r="F932" s="161">
        <v>158</v>
      </c>
      <c r="G932" s="161" t="s">
        <v>1108</v>
      </c>
      <c r="H932" s="161" t="s">
        <v>180</v>
      </c>
      <c r="I932" s="161">
        <v>67</v>
      </c>
      <c r="J932" s="161" t="s">
        <v>105</v>
      </c>
      <c r="K932" s="21" t="s">
        <v>106</v>
      </c>
      <c r="L932" s="161" t="s">
        <v>3380</v>
      </c>
      <c r="M932" s="21" t="s">
        <v>107</v>
      </c>
      <c r="N932" s="161" t="s">
        <v>108</v>
      </c>
      <c r="O932" s="21" t="s">
        <v>68</v>
      </c>
      <c r="P932" s="161" t="s">
        <v>109</v>
      </c>
      <c r="Q932" s="21" t="s">
        <v>70</v>
      </c>
      <c r="R932" s="161">
        <v>70</v>
      </c>
      <c r="S932" s="161" t="s">
        <v>1089</v>
      </c>
      <c r="T932" s="161" t="s">
        <v>174</v>
      </c>
      <c r="U932" s="161" t="s">
        <v>73</v>
      </c>
      <c r="V932" s="21" t="s">
        <v>74</v>
      </c>
      <c r="W932" s="21" t="s">
        <v>762</v>
      </c>
      <c r="X932" s="161" t="s">
        <v>1090</v>
      </c>
      <c r="Y932" s="161">
        <v>0.03</v>
      </c>
      <c r="Z932" s="161">
        <v>9</v>
      </c>
      <c r="AA932" s="161" t="s">
        <v>144</v>
      </c>
      <c r="AB932" s="161" t="s">
        <v>114</v>
      </c>
      <c r="AC932" s="266" t="str">
        <f>HYPERLINK("https://gcsvt.ru/svetodiodnyie-svetilniki/SVT-STR-M-53W-35-PENTA-s-zashchitoy-ot-380/","Ссылка")</f>
        <v>Ссылка</v>
      </c>
      <c r="AD932" s="167">
        <v>45390</v>
      </c>
    </row>
    <row r="933" spans="1:30" s="161" customFormat="1" ht="39.950000000000003" hidden="1" customHeight="1" outlineLevel="2" x14ac:dyDescent="0.25">
      <c r="A933" s="21"/>
      <c r="B933" s="21" t="s">
        <v>870</v>
      </c>
      <c r="C933" s="159" t="s">
        <v>1109</v>
      </c>
      <c r="D933" s="161">
        <v>42100</v>
      </c>
      <c r="E933" s="161">
        <v>265</v>
      </c>
      <c r="F933" s="161">
        <v>158</v>
      </c>
      <c r="G933" s="161" t="s">
        <v>1110</v>
      </c>
      <c r="H933" s="161" t="s">
        <v>183</v>
      </c>
      <c r="I933" s="161">
        <v>67</v>
      </c>
      <c r="J933" s="161" t="s">
        <v>105</v>
      </c>
      <c r="K933" s="21" t="s">
        <v>106</v>
      </c>
      <c r="L933" s="161" t="s">
        <v>3380</v>
      </c>
      <c r="M933" s="21" t="s">
        <v>107</v>
      </c>
      <c r="N933" s="161" t="s">
        <v>108</v>
      </c>
      <c r="O933" s="21" t="s">
        <v>68</v>
      </c>
      <c r="P933" s="161" t="s">
        <v>109</v>
      </c>
      <c r="Q933" s="21" t="s">
        <v>70</v>
      </c>
      <c r="R933" s="161">
        <v>70</v>
      </c>
      <c r="S933" s="161" t="s">
        <v>1089</v>
      </c>
      <c r="T933" s="161" t="s">
        <v>174</v>
      </c>
      <c r="U933" s="161" t="s">
        <v>73</v>
      </c>
      <c r="V933" s="21" t="s">
        <v>74</v>
      </c>
      <c r="W933" s="21" t="s">
        <v>762</v>
      </c>
      <c r="X933" s="161" t="s">
        <v>1090</v>
      </c>
      <c r="Y933" s="161">
        <v>0.03</v>
      </c>
      <c r="Z933" s="161">
        <v>9</v>
      </c>
      <c r="AA933" s="161" t="s">
        <v>144</v>
      </c>
      <c r="AB933" s="161" t="s">
        <v>114</v>
      </c>
      <c r="AC933" s="266" t="str">
        <f>HYPERLINK("https://gcsvt.ru/svetodiodnyie-svetilniki/SVT-STR-M-53W-65-PENTA-s-zashchitoy-ot-380/","Ссылка")</f>
        <v>Ссылка</v>
      </c>
      <c r="AD933" s="167">
        <v>45390</v>
      </c>
    </row>
    <row r="934" spans="1:30" s="161" customFormat="1" ht="39.950000000000003" hidden="1" customHeight="1" outlineLevel="2" x14ac:dyDescent="0.25">
      <c r="A934" s="21"/>
      <c r="B934" s="21" t="s">
        <v>870</v>
      </c>
      <c r="C934" s="159" t="s">
        <v>1111</v>
      </c>
      <c r="D934" s="161">
        <v>42100</v>
      </c>
      <c r="E934" s="161">
        <v>265</v>
      </c>
      <c r="F934" s="161">
        <v>158</v>
      </c>
      <c r="G934" s="161" t="s">
        <v>1112</v>
      </c>
      <c r="H934" s="161" t="s">
        <v>186</v>
      </c>
      <c r="I934" s="161">
        <v>67</v>
      </c>
      <c r="J934" s="161" t="s">
        <v>105</v>
      </c>
      <c r="K934" s="21" t="s">
        <v>106</v>
      </c>
      <c r="L934" s="161" t="s">
        <v>3380</v>
      </c>
      <c r="M934" s="21" t="s">
        <v>107</v>
      </c>
      <c r="N934" s="161" t="s">
        <v>108</v>
      </c>
      <c r="O934" s="21" t="s">
        <v>68</v>
      </c>
      <c r="P934" s="161" t="s">
        <v>109</v>
      </c>
      <c r="Q934" s="21" t="s">
        <v>70</v>
      </c>
      <c r="R934" s="161">
        <v>70</v>
      </c>
      <c r="S934" s="161" t="s">
        <v>1089</v>
      </c>
      <c r="T934" s="161" t="s">
        <v>174</v>
      </c>
      <c r="U934" s="161" t="s">
        <v>73</v>
      </c>
      <c r="V934" s="21" t="s">
        <v>74</v>
      </c>
      <c r="W934" s="21" t="s">
        <v>762</v>
      </c>
      <c r="X934" s="161" t="s">
        <v>1090</v>
      </c>
      <c r="Y934" s="161">
        <v>0.03</v>
      </c>
      <c r="Z934" s="161">
        <v>9</v>
      </c>
      <c r="AA934" s="161" t="s">
        <v>144</v>
      </c>
      <c r="AB934" s="161" t="s">
        <v>114</v>
      </c>
      <c r="AC934" s="266" t="str">
        <f>HYPERLINK("https://gcsvt.ru/svetodiodnyie-svetilniki/svt-str-m-53w-100-penta-s-zashchitoy-ot-380/","Ссылка")</f>
        <v>Ссылка</v>
      </c>
      <c r="AD934" s="167">
        <v>45390</v>
      </c>
    </row>
    <row r="935" spans="1:30" s="161" customFormat="1" ht="39.950000000000003" hidden="1" customHeight="1" outlineLevel="2" x14ac:dyDescent="0.25">
      <c r="A935" s="21"/>
      <c r="B935" s="21" t="s">
        <v>870</v>
      </c>
      <c r="C935" s="159" t="s">
        <v>1113</v>
      </c>
      <c r="D935" s="161">
        <v>42100</v>
      </c>
      <c r="E935" s="161">
        <v>265</v>
      </c>
      <c r="F935" s="161">
        <v>158</v>
      </c>
      <c r="G935" s="161" t="s">
        <v>1114</v>
      </c>
      <c r="H935" s="161" t="s">
        <v>189</v>
      </c>
      <c r="I935" s="161">
        <v>67</v>
      </c>
      <c r="J935" s="161" t="s">
        <v>105</v>
      </c>
      <c r="K935" s="21" t="s">
        <v>106</v>
      </c>
      <c r="L935" s="161" t="s">
        <v>3380</v>
      </c>
      <c r="M935" s="21" t="s">
        <v>107</v>
      </c>
      <c r="N935" s="161" t="s">
        <v>108</v>
      </c>
      <c r="O935" s="21" t="s">
        <v>68</v>
      </c>
      <c r="P935" s="161" t="s">
        <v>109</v>
      </c>
      <c r="Q935" s="21" t="s">
        <v>70</v>
      </c>
      <c r="R935" s="161">
        <v>70</v>
      </c>
      <c r="S935" s="161" t="s">
        <v>1089</v>
      </c>
      <c r="T935" s="161" t="s">
        <v>174</v>
      </c>
      <c r="U935" s="161" t="s">
        <v>73</v>
      </c>
      <c r="V935" s="21" t="s">
        <v>74</v>
      </c>
      <c r="W935" s="21" t="s">
        <v>762</v>
      </c>
      <c r="X935" s="161" t="s">
        <v>1090</v>
      </c>
      <c r="Y935" s="161">
        <v>0.03</v>
      </c>
      <c r="Z935" s="161">
        <v>9</v>
      </c>
      <c r="AA935" s="161" t="s">
        <v>144</v>
      </c>
      <c r="AB935" s="161" t="s">
        <v>114</v>
      </c>
      <c r="AC935" s="266" t="str">
        <f>HYPERLINK("https://gcsvt.ru/svetodiodnyie-svetilniki/svt-str-m-53w-30x120-penta-s-zashchitoy-ot-380/","Ссылка")</f>
        <v>Ссылка</v>
      </c>
      <c r="AD935" s="167">
        <v>45390</v>
      </c>
    </row>
    <row r="936" spans="1:30" s="161" customFormat="1" ht="39.950000000000003" hidden="1" customHeight="1" outlineLevel="2" x14ac:dyDescent="0.25">
      <c r="A936" s="21"/>
      <c r="B936" s="21" t="s">
        <v>870</v>
      </c>
      <c r="C936" s="159" t="s">
        <v>1115</v>
      </c>
      <c r="D936" s="161">
        <v>42100</v>
      </c>
      <c r="E936" s="161">
        <v>265</v>
      </c>
      <c r="F936" s="161">
        <v>158</v>
      </c>
      <c r="G936" s="161" t="s">
        <v>1116</v>
      </c>
      <c r="H936" s="161" t="s">
        <v>192</v>
      </c>
      <c r="I936" s="161">
        <v>67</v>
      </c>
      <c r="J936" s="161" t="s">
        <v>105</v>
      </c>
      <c r="K936" s="21" t="s">
        <v>106</v>
      </c>
      <c r="L936" s="161" t="s">
        <v>3380</v>
      </c>
      <c r="M936" s="21" t="s">
        <v>107</v>
      </c>
      <c r="N936" s="161" t="s">
        <v>108</v>
      </c>
      <c r="O936" s="21" t="s">
        <v>68</v>
      </c>
      <c r="P936" s="161" t="s">
        <v>109</v>
      </c>
      <c r="Q936" s="21" t="s">
        <v>70</v>
      </c>
      <c r="R936" s="161">
        <v>70</v>
      </c>
      <c r="S936" s="161" t="s">
        <v>1089</v>
      </c>
      <c r="T936" s="161" t="s">
        <v>174</v>
      </c>
      <c r="U936" s="161" t="s">
        <v>73</v>
      </c>
      <c r="V936" s="21" t="s">
        <v>74</v>
      </c>
      <c r="W936" s="21" t="s">
        <v>762</v>
      </c>
      <c r="X936" s="161" t="s">
        <v>1090</v>
      </c>
      <c r="Y936" s="161">
        <v>0.03</v>
      </c>
      <c r="Z936" s="161">
        <v>9</v>
      </c>
      <c r="AA936" s="161" t="s">
        <v>144</v>
      </c>
      <c r="AB936" s="161" t="s">
        <v>114</v>
      </c>
      <c r="AC936" s="266" t="str">
        <f>HYPERLINK("https://gcsvt.ru/svetodiodnyie-svetilniki/svt-str-m-53w-vsm-penta-s-zashchitoy-ot-380/","Ссылка")</f>
        <v>Ссылка</v>
      </c>
      <c r="AD936" s="167">
        <v>45390</v>
      </c>
    </row>
    <row r="937" spans="1:30" s="161" customFormat="1" ht="39.950000000000003" hidden="1" customHeight="1" outlineLevel="2" x14ac:dyDescent="0.25">
      <c r="A937" s="21"/>
      <c r="B937" s="21" t="s">
        <v>870</v>
      </c>
      <c r="C937" s="159" t="s">
        <v>1117</v>
      </c>
      <c r="D937" s="161">
        <v>59750</v>
      </c>
      <c r="E937" s="161">
        <v>395</v>
      </c>
      <c r="F937" s="161">
        <v>151</v>
      </c>
      <c r="G937" s="161" t="s">
        <v>1118</v>
      </c>
      <c r="H937" s="161" t="s">
        <v>63</v>
      </c>
      <c r="I937" s="161">
        <v>67</v>
      </c>
      <c r="J937" s="161" t="s">
        <v>105</v>
      </c>
      <c r="K937" s="21" t="s">
        <v>106</v>
      </c>
      <c r="L937" s="161" t="s">
        <v>3380</v>
      </c>
      <c r="M937" s="21" t="s">
        <v>157</v>
      </c>
      <c r="N937" s="161" t="s">
        <v>67</v>
      </c>
      <c r="O937" s="21" t="s">
        <v>68</v>
      </c>
      <c r="P937" s="161" t="s">
        <v>109</v>
      </c>
      <c r="Q937" s="21" t="s">
        <v>70</v>
      </c>
      <c r="R937" s="161">
        <v>70</v>
      </c>
      <c r="S937" s="161" t="s">
        <v>1119</v>
      </c>
      <c r="T937" s="161" t="s">
        <v>174</v>
      </c>
      <c r="U937" s="161" t="s">
        <v>73</v>
      </c>
      <c r="V937" s="21" t="s">
        <v>74</v>
      </c>
      <c r="W937" s="21" t="s">
        <v>762</v>
      </c>
      <c r="X937" s="161" t="s">
        <v>1120</v>
      </c>
      <c r="Y937" s="161">
        <v>0.05</v>
      </c>
      <c r="Z937" s="161">
        <v>13</v>
      </c>
      <c r="AA937" s="161" t="s">
        <v>77</v>
      </c>
      <c r="AB937" s="161" t="s">
        <v>114</v>
      </c>
      <c r="AC937" s="266" t="str">
        <f>HYPERLINK("https://gcsvt.ru/svetodiodnyie-svetilniki/svt-str-m-79w-45x140-penta/","Ссылка")</f>
        <v>Ссылка</v>
      </c>
      <c r="AD937" s="167">
        <v>70380</v>
      </c>
    </row>
    <row r="938" spans="1:30" s="161" customFormat="1" ht="39.950000000000003" hidden="1" customHeight="1" outlineLevel="2" x14ac:dyDescent="0.25">
      <c r="A938" s="21"/>
      <c r="B938" s="21" t="s">
        <v>870</v>
      </c>
      <c r="C938" s="159" t="s">
        <v>1121</v>
      </c>
      <c r="D938" s="161">
        <v>59750</v>
      </c>
      <c r="E938" s="161">
        <v>395</v>
      </c>
      <c r="F938" s="161">
        <v>151</v>
      </c>
      <c r="G938" s="161" t="s">
        <v>1122</v>
      </c>
      <c r="H938" s="161" t="s">
        <v>177</v>
      </c>
      <c r="I938" s="161">
        <v>67</v>
      </c>
      <c r="J938" s="161" t="s">
        <v>105</v>
      </c>
      <c r="K938" s="21" t="s">
        <v>106</v>
      </c>
      <c r="L938" s="161" t="s">
        <v>3380</v>
      </c>
      <c r="M938" s="21" t="s">
        <v>157</v>
      </c>
      <c r="N938" s="161" t="s">
        <v>67</v>
      </c>
      <c r="O938" s="21" t="s">
        <v>68</v>
      </c>
      <c r="P938" s="161" t="s">
        <v>109</v>
      </c>
      <c r="Q938" s="21" t="s">
        <v>70</v>
      </c>
      <c r="R938" s="161">
        <v>70</v>
      </c>
      <c r="S938" s="161" t="s">
        <v>1119</v>
      </c>
      <c r="T938" s="161" t="s">
        <v>174</v>
      </c>
      <c r="U938" s="161" t="s">
        <v>73</v>
      </c>
      <c r="V938" s="21" t="s">
        <v>74</v>
      </c>
      <c r="W938" s="21" t="s">
        <v>762</v>
      </c>
      <c r="X938" s="161" t="s">
        <v>1120</v>
      </c>
      <c r="Y938" s="161">
        <v>0.05</v>
      </c>
      <c r="Z938" s="161">
        <v>13</v>
      </c>
      <c r="AA938" s="161" t="s">
        <v>77</v>
      </c>
      <c r="AB938" s="161" t="s">
        <v>114</v>
      </c>
      <c r="AC938" s="266" t="str">
        <f>HYPERLINK("https://gcsvt.ru/svetodiodnyie-svetilniki/SVT-STR-M-79W-20-PENTA/","Ссылка")</f>
        <v>Ссылка</v>
      </c>
      <c r="AD938" s="167">
        <v>70380</v>
      </c>
    </row>
    <row r="939" spans="1:30" s="161" customFormat="1" ht="39.950000000000003" hidden="1" customHeight="1" outlineLevel="2" x14ac:dyDescent="0.25">
      <c r="A939" s="21"/>
      <c r="B939" s="21" t="s">
        <v>870</v>
      </c>
      <c r="C939" s="159" t="s">
        <v>1123</v>
      </c>
      <c r="D939" s="161">
        <v>59750</v>
      </c>
      <c r="E939" s="161">
        <v>395</v>
      </c>
      <c r="F939" s="161">
        <v>151</v>
      </c>
      <c r="G939" s="161" t="s">
        <v>1124</v>
      </c>
      <c r="H939" s="161" t="s">
        <v>180</v>
      </c>
      <c r="I939" s="161">
        <v>67</v>
      </c>
      <c r="J939" s="161" t="s">
        <v>105</v>
      </c>
      <c r="K939" s="21" t="s">
        <v>106</v>
      </c>
      <c r="L939" s="161" t="s">
        <v>3380</v>
      </c>
      <c r="M939" s="21" t="s">
        <v>157</v>
      </c>
      <c r="N939" s="161" t="s">
        <v>67</v>
      </c>
      <c r="O939" s="21" t="s">
        <v>68</v>
      </c>
      <c r="P939" s="161" t="s">
        <v>109</v>
      </c>
      <c r="Q939" s="21" t="s">
        <v>70</v>
      </c>
      <c r="R939" s="161">
        <v>70</v>
      </c>
      <c r="S939" s="161" t="s">
        <v>1119</v>
      </c>
      <c r="T939" s="161" t="s">
        <v>174</v>
      </c>
      <c r="U939" s="161" t="s">
        <v>73</v>
      </c>
      <c r="V939" s="21" t="s">
        <v>74</v>
      </c>
      <c r="W939" s="21" t="s">
        <v>762</v>
      </c>
      <c r="X939" s="161" t="s">
        <v>1120</v>
      </c>
      <c r="Y939" s="161">
        <v>0.05</v>
      </c>
      <c r="Z939" s="161">
        <v>13</v>
      </c>
      <c r="AA939" s="161" t="s">
        <v>77</v>
      </c>
      <c r="AB939" s="161" t="s">
        <v>114</v>
      </c>
      <c r="AC939" s="266" t="str">
        <f>HYPERLINK("https://gcsvt.ru/svetodiodnyie-svetilniki/SVT-STR-M-79W-35-PENTA/","Ссылка")</f>
        <v>Ссылка</v>
      </c>
      <c r="AD939" s="167">
        <v>70380</v>
      </c>
    </row>
    <row r="940" spans="1:30" s="161" customFormat="1" ht="39.950000000000003" hidden="1" customHeight="1" outlineLevel="2" x14ac:dyDescent="0.25">
      <c r="A940" s="21"/>
      <c r="B940" s="21" t="s">
        <v>870</v>
      </c>
      <c r="C940" s="159" t="s">
        <v>1125</v>
      </c>
      <c r="D940" s="161">
        <v>59750</v>
      </c>
      <c r="E940" s="161">
        <v>395</v>
      </c>
      <c r="F940" s="161">
        <v>151</v>
      </c>
      <c r="G940" s="161" t="s">
        <v>1126</v>
      </c>
      <c r="H940" s="161" t="s">
        <v>183</v>
      </c>
      <c r="I940" s="161">
        <v>67</v>
      </c>
      <c r="J940" s="161" t="s">
        <v>105</v>
      </c>
      <c r="K940" s="21" t="s">
        <v>106</v>
      </c>
      <c r="L940" s="161" t="s">
        <v>3380</v>
      </c>
      <c r="M940" s="21" t="s">
        <v>157</v>
      </c>
      <c r="N940" s="161" t="s">
        <v>67</v>
      </c>
      <c r="O940" s="21" t="s">
        <v>68</v>
      </c>
      <c r="P940" s="161" t="s">
        <v>109</v>
      </c>
      <c r="Q940" s="21" t="s">
        <v>70</v>
      </c>
      <c r="R940" s="161">
        <v>70</v>
      </c>
      <c r="S940" s="161" t="s">
        <v>1119</v>
      </c>
      <c r="T940" s="161" t="s">
        <v>174</v>
      </c>
      <c r="U940" s="161" t="s">
        <v>73</v>
      </c>
      <c r="V940" s="21" t="s">
        <v>74</v>
      </c>
      <c r="W940" s="21" t="s">
        <v>762</v>
      </c>
      <c r="X940" s="161" t="s">
        <v>1120</v>
      </c>
      <c r="Y940" s="161">
        <v>0.05</v>
      </c>
      <c r="Z940" s="161">
        <v>13</v>
      </c>
      <c r="AA940" s="161" t="s">
        <v>77</v>
      </c>
      <c r="AB940" s="161" t="s">
        <v>114</v>
      </c>
      <c r="AC940" s="266" t="str">
        <f>HYPERLINK("https://gcsvt.ru/svetodiodnyie-svetilniki/SVT-STR-M-79W-65-PENTA/","Ссылка")</f>
        <v>Ссылка</v>
      </c>
      <c r="AD940" s="167">
        <v>70380</v>
      </c>
    </row>
    <row r="941" spans="1:30" s="161" customFormat="1" ht="39.950000000000003" hidden="1" customHeight="1" outlineLevel="2" x14ac:dyDescent="0.25">
      <c r="A941" s="21"/>
      <c r="B941" s="21" t="s">
        <v>870</v>
      </c>
      <c r="C941" s="159" t="s">
        <v>1127</v>
      </c>
      <c r="D941" s="161">
        <v>59750</v>
      </c>
      <c r="E941" s="161">
        <v>395</v>
      </c>
      <c r="F941" s="161">
        <v>151</v>
      </c>
      <c r="G941" s="161" t="s">
        <v>1128</v>
      </c>
      <c r="H941" s="161" t="s">
        <v>186</v>
      </c>
      <c r="I941" s="161">
        <v>67</v>
      </c>
      <c r="J941" s="161" t="s">
        <v>105</v>
      </c>
      <c r="K941" s="21" t="s">
        <v>106</v>
      </c>
      <c r="L941" s="161" t="s">
        <v>3380</v>
      </c>
      <c r="M941" s="21" t="s">
        <v>157</v>
      </c>
      <c r="N941" s="161" t="s">
        <v>67</v>
      </c>
      <c r="O941" s="21" t="s">
        <v>68</v>
      </c>
      <c r="P941" s="161" t="s">
        <v>109</v>
      </c>
      <c r="Q941" s="21" t="s">
        <v>70</v>
      </c>
      <c r="R941" s="161">
        <v>70</v>
      </c>
      <c r="S941" s="161" t="s">
        <v>1119</v>
      </c>
      <c r="T941" s="161" t="s">
        <v>174</v>
      </c>
      <c r="U941" s="161" t="s">
        <v>73</v>
      </c>
      <c r="V941" s="21" t="s">
        <v>74</v>
      </c>
      <c r="W941" s="21" t="s">
        <v>762</v>
      </c>
      <c r="X941" s="161" t="s">
        <v>1120</v>
      </c>
      <c r="Y941" s="161">
        <v>0.05</v>
      </c>
      <c r="Z941" s="161">
        <v>13</v>
      </c>
      <c r="AA941" s="161" t="s">
        <v>77</v>
      </c>
      <c r="AB941" s="161" t="s">
        <v>114</v>
      </c>
      <c r="AC941" s="266" t="str">
        <f>HYPERLINK("https://gcsvt.ru/svetodiodnyie-svetilniki/svt-str-m-79w-100-penta/","Ссылка")</f>
        <v>Ссылка</v>
      </c>
      <c r="AD941" s="167">
        <v>70380</v>
      </c>
    </row>
    <row r="942" spans="1:30" s="161" customFormat="1" ht="39.950000000000003" hidden="1" customHeight="1" outlineLevel="2" x14ac:dyDescent="0.25">
      <c r="A942" s="21"/>
      <c r="B942" s="21" t="s">
        <v>870</v>
      </c>
      <c r="C942" s="159" t="s">
        <v>1129</v>
      </c>
      <c r="D942" s="161">
        <v>59750</v>
      </c>
      <c r="E942" s="161">
        <v>395</v>
      </c>
      <c r="F942" s="161">
        <v>151</v>
      </c>
      <c r="G942" s="161" t="s">
        <v>1130</v>
      </c>
      <c r="H942" s="161" t="s">
        <v>189</v>
      </c>
      <c r="I942" s="161">
        <v>67</v>
      </c>
      <c r="J942" s="161" t="s">
        <v>105</v>
      </c>
      <c r="K942" s="21" t="s">
        <v>106</v>
      </c>
      <c r="L942" s="161" t="s">
        <v>3380</v>
      </c>
      <c r="M942" s="21" t="s">
        <v>157</v>
      </c>
      <c r="N942" s="161" t="s">
        <v>67</v>
      </c>
      <c r="O942" s="21" t="s">
        <v>68</v>
      </c>
      <c r="P942" s="161" t="s">
        <v>109</v>
      </c>
      <c r="Q942" s="21" t="s">
        <v>70</v>
      </c>
      <c r="R942" s="161">
        <v>70</v>
      </c>
      <c r="S942" s="161" t="s">
        <v>1119</v>
      </c>
      <c r="T942" s="161" t="s">
        <v>174</v>
      </c>
      <c r="U942" s="161" t="s">
        <v>73</v>
      </c>
      <c r="V942" s="21" t="s">
        <v>74</v>
      </c>
      <c r="W942" s="21" t="s">
        <v>762</v>
      </c>
      <c r="X942" s="161" t="s">
        <v>1120</v>
      </c>
      <c r="Y942" s="161">
        <v>0.05</v>
      </c>
      <c r="Z942" s="161">
        <v>13</v>
      </c>
      <c r="AA942" s="161" t="s">
        <v>77</v>
      </c>
      <c r="AB942" s="161" t="s">
        <v>114</v>
      </c>
      <c r="AC942" s="266" t="str">
        <f>HYPERLINK("https://gcsvt.ru/svetodiodnyie-svetilniki/svt-str-m-79w-30x120-penta/","Ссылка")</f>
        <v>Ссылка</v>
      </c>
      <c r="AD942" s="167">
        <v>70380</v>
      </c>
    </row>
    <row r="943" spans="1:30" s="161" customFormat="1" ht="39.950000000000003" hidden="1" customHeight="1" outlineLevel="2" x14ac:dyDescent="0.25">
      <c r="A943" s="21"/>
      <c r="B943" s="21" t="s">
        <v>870</v>
      </c>
      <c r="C943" s="159" t="s">
        <v>1131</v>
      </c>
      <c r="D943" s="161">
        <v>59750</v>
      </c>
      <c r="E943" s="161">
        <v>395</v>
      </c>
      <c r="F943" s="161">
        <v>151</v>
      </c>
      <c r="G943" s="161" t="s">
        <v>1132</v>
      </c>
      <c r="H943" s="161" t="s">
        <v>192</v>
      </c>
      <c r="I943" s="161">
        <v>67</v>
      </c>
      <c r="J943" s="161" t="s">
        <v>105</v>
      </c>
      <c r="K943" s="21" t="s">
        <v>106</v>
      </c>
      <c r="L943" s="161" t="s">
        <v>3380</v>
      </c>
      <c r="M943" s="21" t="s">
        <v>157</v>
      </c>
      <c r="N943" s="161" t="s">
        <v>67</v>
      </c>
      <c r="O943" s="21" t="s">
        <v>68</v>
      </c>
      <c r="P943" s="161" t="s">
        <v>109</v>
      </c>
      <c r="Q943" s="21" t="s">
        <v>70</v>
      </c>
      <c r="R943" s="161">
        <v>70</v>
      </c>
      <c r="S943" s="161" t="s">
        <v>1119</v>
      </c>
      <c r="T943" s="161" t="s">
        <v>174</v>
      </c>
      <c r="U943" s="161" t="s">
        <v>73</v>
      </c>
      <c r="V943" s="21" t="s">
        <v>74</v>
      </c>
      <c r="W943" s="21" t="s">
        <v>762</v>
      </c>
      <c r="X943" s="161" t="s">
        <v>1120</v>
      </c>
      <c r="Y943" s="161">
        <v>0.05</v>
      </c>
      <c r="Z943" s="161">
        <v>13</v>
      </c>
      <c r="AA943" s="161" t="s">
        <v>77</v>
      </c>
      <c r="AB943" s="161" t="s">
        <v>114</v>
      </c>
      <c r="AC943" s="266" t="str">
        <f>HYPERLINK("https://gcsvt.ru/svetodiodnyie-svetilniki/svt-str-m-79w-vsm-penta/","Ссылка")</f>
        <v>Ссылка</v>
      </c>
      <c r="AD943" s="167">
        <v>70380</v>
      </c>
    </row>
    <row r="944" spans="1:30" s="161" customFormat="1" ht="39.950000000000003" hidden="1" customHeight="1" outlineLevel="1" collapsed="1" x14ac:dyDescent="0.25">
      <c r="A944" s="165"/>
      <c r="B944" s="217" t="s">
        <v>4461</v>
      </c>
      <c r="C944" s="218"/>
      <c r="K944" s="21"/>
      <c r="M944" s="21"/>
      <c r="O944" s="21"/>
      <c r="Q944" s="21"/>
      <c r="V944" s="21"/>
      <c r="W944" s="21"/>
      <c r="AC944" s="228"/>
      <c r="AD944" s="167"/>
    </row>
    <row r="945" spans="1:30" s="161" customFormat="1" ht="39.950000000000003" hidden="1" customHeight="1" outlineLevel="2" x14ac:dyDescent="0.25">
      <c r="A945" s="21"/>
      <c r="B945" s="21" t="s">
        <v>1303</v>
      </c>
      <c r="C945" s="159" t="s">
        <v>1304</v>
      </c>
      <c r="D945" s="161">
        <v>9680</v>
      </c>
      <c r="E945" s="161">
        <v>64</v>
      </c>
      <c r="F945" s="161">
        <v>151</v>
      </c>
      <c r="G945" s="161" t="s">
        <v>1305</v>
      </c>
      <c r="H945" s="161" t="s">
        <v>641</v>
      </c>
      <c r="I945" s="161">
        <v>67</v>
      </c>
      <c r="J945" s="161" t="s">
        <v>105</v>
      </c>
      <c r="K945" s="21" t="s">
        <v>106</v>
      </c>
      <c r="L945" s="161" t="s">
        <v>3380</v>
      </c>
      <c r="M945" s="21" t="s">
        <v>568</v>
      </c>
      <c r="N945" s="161" t="s">
        <v>108</v>
      </c>
      <c r="O945" s="21" t="s">
        <v>139</v>
      </c>
      <c r="P945" s="161" t="s">
        <v>109</v>
      </c>
      <c r="Q945" s="21" t="s">
        <v>70</v>
      </c>
      <c r="R945" s="161">
        <v>80</v>
      </c>
      <c r="S945" s="161" t="s">
        <v>151</v>
      </c>
      <c r="T945" s="161" t="s">
        <v>141</v>
      </c>
      <c r="U945" s="161" t="s">
        <v>142</v>
      </c>
      <c r="V945" s="21" t="s">
        <v>74</v>
      </c>
      <c r="W945" s="21" t="s">
        <v>112</v>
      </c>
      <c r="X945" s="161" t="s">
        <v>1306</v>
      </c>
      <c r="Y945" s="161">
        <v>1.1440000000000001E-2</v>
      </c>
      <c r="Z945" s="161">
        <v>1.6</v>
      </c>
      <c r="AA945" s="161" t="s">
        <v>144</v>
      </c>
      <c r="AB945" s="161" t="s">
        <v>114</v>
      </c>
      <c r="AC945" s="266" t="str">
        <f>HYPERLINK("https://gcsvt.ru/svetodiodnyie-svetilniki/svt-str-mv-64w/","Ссылка")</f>
        <v>Ссылка</v>
      </c>
      <c r="AD945" s="167">
        <v>11559</v>
      </c>
    </row>
    <row r="946" spans="1:30" s="161" customFormat="1" ht="39.950000000000003" hidden="1" customHeight="1" outlineLevel="2" x14ac:dyDescent="0.25">
      <c r="A946" s="21"/>
      <c r="B946" s="21" t="s">
        <v>1303</v>
      </c>
      <c r="C946" s="159" t="s">
        <v>1307</v>
      </c>
      <c r="D946" s="161">
        <v>15260</v>
      </c>
      <c r="E946" s="161">
        <v>96</v>
      </c>
      <c r="F946" s="161">
        <v>158</v>
      </c>
      <c r="G946" s="161" t="s">
        <v>1308</v>
      </c>
      <c r="H946" s="161" t="s">
        <v>641</v>
      </c>
      <c r="I946" s="161">
        <v>67</v>
      </c>
      <c r="J946" s="161" t="s">
        <v>105</v>
      </c>
      <c r="K946" s="21" t="s">
        <v>106</v>
      </c>
      <c r="L946" s="161" t="s">
        <v>3380</v>
      </c>
      <c r="M946" s="21" t="s">
        <v>568</v>
      </c>
      <c r="N946" s="161" t="s">
        <v>108</v>
      </c>
      <c r="O946" s="21" t="s">
        <v>139</v>
      </c>
      <c r="P946" s="161" t="s">
        <v>109</v>
      </c>
      <c r="Q946" s="21" t="s">
        <v>70</v>
      </c>
      <c r="R946" s="161">
        <v>80</v>
      </c>
      <c r="S946" s="161" t="s">
        <v>155</v>
      </c>
      <c r="T946" s="161" t="s">
        <v>141</v>
      </c>
      <c r="U946" s="161" t="s">
        <v>142</v>
      </c>
      <c r="V946" s="21" t="s">
        <v>74</v>
      </c>
      <c r="W946" s="21" t="s">
        <v>112</v>
      </c>
      <c r="X946" s="161" t="s">
        <v>1309</v>
      </c>
      <c r="Y946" s="161">
        <v>1.1440000000000001E-2</v>
      </c>
      <c r="Z946" s="161">
        <v>2</v>
      </c>
      <c r="AA946" s="161" t="s">
        <v>144</v>
      </c>
      <c r="AB946" s="161" t="s">
        <v>114</v>
      </c>
      <c r="AC946" s="266" t="str">
        <f>HYPERLINK("https://gcsvt.ru/svetodiodnyie-svetilniki/svt-str-mv-96w/","Ссылка")</f>
        <v>Ссылка</v>
      </c>
      <c r="AD946" s="167">
        <v>12297</v>
      </c>
    </row>
    <row r="947" spans="1:30" s="161" customFormat="1" ht="39.950000000000003" hidden="1" customHeight="1" outlineLevel="2" x14ac:dyDescent="0.25">
      <c r="A947" s="21"/>
      <c r="B947" s="21" t="s">
        <v>1303</v>
      </c>
      <c r="C947" s="159" t="s">
        <v>1310</v>
      </c>
      <c r="D947" s="161">
        <v>19540</v>
      </c>
      <c r="E947" s="161">
        <v>122</v>
      </c>
      <c r="F947" s="161">
        <v>160</v>
      </c>
      <c r="G947" s="161" t="s">
        <v>1311</v>
      </c>
      <c r="H947" s="161" t="s">
        <v>641</v>
      </c>
      <c r="I947" s="161">
        <v>67</v>
      </c>
      <c r="J947" s="161" t="s">
        <v>105</v>
      </c>
      <c r="K947" s="21" t="s">
        <v>106</v>
      </c>
      <c r="L947" s="161" t="s">
        <v>3380</v>
      </c>
      <c r="M947" s="21" t="s">
        <v>568</v>
      </c>
      <c r="N947" s="161" t="s">
        <v>108</v>
      </c>
      <c r="O947" s="21" t="s">
        <v>139</v>
      </c>
      <c r="P947" s="161" t="s">
        <v>109</v>
      </c>
      <c r="Q947" s="21" t="s">
        <v>70</v>
      </c>
      <c r="R947" s="161">
        <v>80</v>
      </c>
      <c r="S947" s="161" t="s">
        <v>1312</v>
      </c>
      <c r="T947" s="161" t="s">
        <v>141</v>
      </c>
      <c r="U947" s="161" t="s">
        <v>73</v>
      </c>
      <c r="V947" s="21" t="s">
        <v>74</v>
      </c>
      <c r="W947" s="21" t="s">
        <v>112</v>
      </c>
      <c r="X947" s="161" t="s">
        <v>1313</v>
      </c>
      <c r="Y947" s="161">
        <v>1.1275E-2</v>
      </c>
      <c r="Z947" s="161">
        <v>2.2000000000000002</v>
      </c>
      <c r="AA947" s="161" t="s">
        <v>77</v>
      </c>
      <c r="AB947" s="161" t="s">
        <v>114</v>
      </c>
      <c r="AC947" s="266" t="str">
        <f>HYPERLINK("https://gcsvt.ru/svetodiodnyie-svetilniki/svt-str-mv-122w/","Ссылка")</f>
        <v>Ссылка</v>
      </c>
      <c r="AD947" s="167">
        <v>13781</v>
      </c>
    </row>
    <row r="948" spans="1:30" s="161" customFormat="1" ht="39.950000000000003" hidden="1" customHeight="1" outlineLevel="2" x14ac:dyDescent="0.25">
      <c r="A948" s="21"/>
      <c r="B948" s="21" t="s">
        <v>1303</v>
      </c>
      <c r="C948" s="159" t="s">
        <v>1314</v>
      </c>
      <c r="D948" s="161">
        <v>9680</v>
      </c>
      <c r="E948" s="161">
        <v>64</v>
      </c>
      <c r="F948" s="161">
        <v>151</v>
      </c>
      <c r="G948" s="161" t="s">
        <v>1315</v>
      </c>
      <c r="H948" s="161" t="s">
        <v>641</v>
      </c>
      <c r="I948" s="161">
        <v>67</v>
      </c>
      <c r="J948" s="161" t="s">
        <v>105</v>
      </c>
      <c r="K948" s="21" t="s">
        <v>106</v>
      </c>
      <c r="L948" s="161" t="s">
        <v>3380</v>
      </c>
      <c r="M948" s="21" t="s">
        <v>107</v>
      </c>
      <c r="N948" s="161" t="s">
        <v>108</v>
      </c>
      <c r="O948" s="21" t="s">
        <v>139</v>
      </c>
      <c r="P948" s="161" t="s">
        <v>109</v>
      </c>
      <c r="Q948" s="21" t="s">
        <v>70</v>
      </c>
      <c r="R948" s="161">
        <v>80</v>
      </c>
      <c r="S948" s="161" t="s">
        <v>151</v>
      </c>
      <c r="T948" s="161" t="s">
        <v>141</v>
      </c>
      <c r="U948" s="161" t="s">
        <v>142</v>
      </c>
      <c r="V948" s="21" t="s">
        <v>74</v>
      </c>
      <c r="W948" s="21" t="s">
        <v>112</v>
      </c>
      <c r="X948" s="161" t="s">
        <v>1306</v>
      </c>
      <c r="Y948" s="161">
        <v>1.1440000000000001E-2</v>
      </c>
      <c r="Z948" s="161">
        <v>1.6</v>
      </c>
      <c r="AA948" s="161" t="s">
        <v>144</v>
      </c>
      <c r="AB948" s="161" t="s">
        <v>114</v>
      </c>
      <c r="AC948" s="266" t="str">
        <f>HYPERLINK("https://gcsvt.ru/svetodiodnyie-svetilniki/svt-str-mv-64w-s-zashchitoy-ot-380/","Ссылка")</f>
        <v>Ссылка</v>
      </c>
      <c r="AD948" s="167">
        <v>11559</v>
      </c>
    </row>
    <row r="949" spans="1:30" s="161" customFormat="1" ht="39.950000000000003" hidden="1" customHeight="1" outlineLevel="2" x14ac:dyDescent="0.25">
      <c r="A949" s="21"/>
      <c r="B949" s="21" t="s">
        <v>1303</v>
      </c>
      <c r="C949" s="159" t="s">
        <v>1316</v>
      </c>
      <c r="D949" s="161">
        <v>15260</v>
      </c>
      <c r="E949" s="161">
        <v>96</v>
      </c>
      <c r="F949" s="161">
        <v>158</v>
      </c>
      <c r="G949" s="161" t="s">
        <v>1317</v>
      </c>
      <c r="H949" s="161" t="s">
        <v>641</v>
      </c>
      <c r="I949" s="161">
        <v>67</v>
      </c>
      <c r="J949" s="161" t="s">
        <v>105</v>
      </c>
      <c r="K949" s="21" t="s">
        <v>106</v>
      </c>
      <c r="L949" s="161" t="s">
        <v>3380</v>
      </c>
      <c r="M949" s="21" t="s">
        <v>107</v>
      </c>
      <c r="N949" s="161" t="s">
        <v>108</v>
      </c>
      <c r="O949" s="21" t="s">
        <v>139</v>
      </c>
      <c r="P949" s="161" t="s">
        <v>109</v>
      </c>
      <c r="Q949" s="21" t="s">
        <v>70</v>
      </c>
      <c r="R949" s="161">
        <v>80</v>
      </c>
      <c r="S949" s="161" t="s">
        <v>155</v>
      </c>
      <c r="T949" s="161" t="s">
        <v>141</v>
      </c>
      <c r="U949" s="161" t="s">
        <v>142</v>
      </c>
      <c r="V949" s="21" t="s">
        <v>74</v>
      </c>
      <c r="W949" s="21" t="s">
        <v>112</v>
      </c>
      <c r="X949" s="161" t="s">
        <v>1309</v>
      </c>
      <c r="Y949" s="161">
        <v>1.1440000000000001E-2</v>
      </c>
      <c r="Z949" s="161">
        <v>2</v>
      </c>
      <c r="AA949" s="161" t="s">
        <v>144</v>
      </c>
      <c r="AB949" s="161" t="s">
        <v>114</v>
      </c>
      <c r="AC949" s="266" t="str">
        <f>HYPERLINK("https://gcsvt.ru/svetodiodnyie-svetilniki/svt-str-mv-96w-s-zashchitoy-ot-380/","Ссылка")</f>
        <v>Ссылка</v>
      </c>
      <c r="AD949" s="167">
        <v>12875</v>
      </c>
    </row>
    <row r="950" spans="1:30" s="161" customFormat="1" ht="39.950000000000003" hidden="1" customHeight="1" outlineLevel="2" x14ac:dyDescent="0.25">
      <c r="A950" s="21"/>
      <c r="B950" s="21" t="s">
        <v>1303</v>
      </c>
      <c r="C950" s="159" t="s">
        <v>1318</v>
      </c>
      <c r="D950" s="161">
        <v>19540</v>
      </c>
      <c r="E950" s="161">
        <v>122</v>
      </c>
      <c r="F950" s="161">
        <v>160</v>
      </c>
      <c r="G950" s="161" t="s">
        <v>1319</v>
      </c>
      <c r="H950" s="161" t="s">
        <v>641</v>
      </c>
      <c r="I950" s="161">
        <v>67</v>
      </c>
      <c r="J950" s="161" t="s">
        <v>105</v>
      </c>
      <c r="K950" s="21" t="s">
        <v>106</v>
      </c>
      <c r="L950" s="161" t="s">
        <v>3380</v>
      </c>
      <c r="M950" s="21" t="s">
        <v>107</v>
      </c>
      <c r="N950" s="161" t="s">
        <v>108</v>
      </c>
      <c r="O950" s="21" t="s">
        <v>139</v>
      </c>
      <c r="P950" s="161" t="s">
        <v>109</v>
      </c>
      <c r="Q950" s="21" t="s">
        <v>70</v>
      </c>
      <c r="R950" s="161">
        <v>80</v>
      </c>
      <c r="S950" s="161" t="s">
        <v>1312</v>
      </c>
      <c r="T950" s="161" t="s">
        <v>141</v>
      </c>
      <c r="U950" s="161" t="s">
        <v>73</v>
      </c>
      <c r="V950" s="21" t="s">
        <v>74</v>
      </c>
      <c r="W950" s="21" t="s">
        <v>112</v>
      </c>
      <c r="X950" s="161" t="s">
        <v>1313</v>
      </c>
      <c r="Y950" s="161">
        <v>1.1275E-2</v>
      </c>
      <c r="Z950" s="161">
        <v>2.2000000000000002</v>
      </c>
      <c r="AA950" s="161" t="s">
        <v>77</v>
      </c>
      <c r="AB950" s="161" t="s">
        <v>114</v>
      </c>
      <c r="AC950" s="266" t="str">
        <f>HYPERLINK("https://gcsvt.ru/svetodiodnyie-svetilniki/svt-str-mv-122w-s-zashchitoy-ot-380/","Ссылка")</f>
        <v>Ссылка</v>
      </c>
      <c r="AD950" s="167">
        <v>14333</v>
      </c>
    </row>
    <row r="951" spans="1:30" s="161" customFormat="1" ht="39.950000000000003" hidden="1" customHeight="1" outlineLevel="1" collapsed="1" x14ac:dyDescent="0.25">
      <c r="A951" s="158"/>
      <c r="B951" s="217" t="s">
        <v>3358</v>
      </c>
      <c r="C951" s="218"/>
      <c r="K951" s="21"/>
      <c r="M951" s="21"/>
      <c r="O951" s="21"/>
      <c r="Q951" s="21"/>
      <c r="V951" s="21"/>
      <c r="W951" s="21"/>
      <c r="AC951" s="228"/>
      <c r="AD951" s="167"/>
    </row>
    <row r="952" spans="1:30" s="161" customFormat="1" ht="39.950000000000003" hidden="1" customHeight="1" outlineLevel="2" x14ac:dyDescent="0.25">
      <c r="A952" s="21"/>
      <c r="B952" s="21" t="s">
        <v>3289</v>
      </c>
      <c r="C952" s="159" t="s">
        <v>3290</v>
      </c>
      <c r="D952" s="161">
        <v>3240</v>
      </c>
      <c r="E952" s="161">
        <v>27</v>
      </c>
      <c r="F952" s="161">
        <v>120</v>
      </c>
      <c r="G952" s="161" t="s">
        <v>3320</v>
      </c>
      <c r="H952" s="161" t="s">
        <v>81</v>
      </c>
      <c r="I952" s="161">
        <v>67</v>
      </c>
      <c r="J952" s="161" t="s">
        <v>105</v>
      </c>
      <c r="K952" s="21" t="s">
        <v>106</v>
      </c>
      <c r="L952" s="161" t="s">
        <v>3380</v>
      </c>
      <c r="M952" s="21" t="s">
        <v>2107</v>
      </c>
      <c r="N952" s="161" t="s">
        <v>108</v>
      </c>
      <c r="O952" s="21" t="s">
        <v>3351</v>
      </c>
      <c r="P952" s="161" t="s">
        <v>109</v>
      </c>
      <c r="Q952" s="21" t="s">
        <v>70</v>
      </c>
      <c r="R952" s="161">
        <v>80</v>
      </c>
      <c r="S952" s="161" t="s">
        <v>3352</v>
      </c>
      <c r="T952" s="161" t="s">
        <v>141</v>
      </c>
      <c r="U952" s="161" t="s">
        <v>142</v>
      </c>
      <c r="V952" s="21" t="s">
        <v>74</v>
      </c>
      <c r="W952" s="21" t="s">
        <v>112</v>
      </c>
      <c r="X952" s="161" t="s">
        <v>787</v>
      </c>
      <c r="Y952" s="161">
        <v>5.3949999999999996E-3</v>
      </c>
      <c r="Z952" s="161">
        <v>1.3</v>
      </c>
      <c r="AA952" s="161" t="s">
        <v>144</v>
      </c>
      <c r="AB952" s="161" t="s">
        <v>114</v>
      </c>
      <c r="AC952" s="266" t="str">
        <f>HYPERLINK("https://gcsvt.ru/svetodiodnyie-svetilniki/svt-str-m-cri80-27w-30/","Ссылка")</f>
        <v>Ссылка</v>
      </c>
      <c r="AD952" s="167">
        <v>5284</v>
      </c>
    </row>
    <row r="953" spans="1:30" s="161" customFormat="1" ht="39.950000000000003" hidden="1" customHeight="1" outlineLevel="2" x14ac:dyDescent="0.25">
      <c r="A953" s="21"/>
      <c r="B953" s="21" t="s">
        <v>3289</v>
      </c>
      <c r="C953" s="159" t="s">
        <v>3291</v>
      </c>
      <c r="D953" s="161">
        <v>3240</v>
      </c>
      <c r="E953" s="161">
        <v>27</v>
      </c>
      <c r="F953" s="161">
        <v>120</v>
      </c>
      <c r="G953" s="161" t="s">
        <v>3321</v>
      </c>
      <c r="H953" s="161" t="s">
        <v>84</v>
      </c>
      <c r="I953" s="161">
        <v>67</v>
      </c>
      <c r="J953" s="161" t="s">
        <v>105</v>
      </c>
      <c r="K953" s="21" t="s">
        <v>106</v>
      </c>
      <c r="L953" s="161" t="s">
        <v>3380</v>
      </c>
      <c r="M953" s="21" t="s">
        <v>2107</v>
      </c>
      <c r="N953" s="161" t="s">
        <v>108</v>
      </c>
      <c r="O953" s="21" t="s">
        <v>3351</v>
      </c>
      <c r="P953" s="161" t="s">
        <v>109</v>
      </c>
      <c r="Q953" s="21" t="s">
        <v>70</v>
      </c>
      <c r="R953" s="161">
        <v>80</v>
      </c>
      <c r="S953" s="161" t="s">
        <v>3352</v>
      </c>
      <c r="T953" s="161" t="s">
        <v>141</v>
      </c>
      <c r="U953" s="161" t="s">
        <v>142</v>
      </c>
      <c r="V953" s="21" t="s">
        <v>74</v>
      </c>
      <c r="W953" s="21" t="s">
        <v>112</v>
      </c>
      <c r="X953" s="161" t="s">
        <v>787</v>
      </c>
      <c r="Y953" s="161">
        <v>5.3949999999999996E-3</v>
      </c>
      <c r="Z953" s="161">
        <v>1.3</v>
      </c>
      <c r="AA953" s="161" t="s">
        <v>144</v>
      </c>
      <c r="AB953" s="161" t="s">
        <v>114</v>
      </c>
      <c r="AC953" s="266" t="str">
        <f>HYPERLINK("https://gcsvt.ru/svetodiodnyie-svetilniki/svt-str-m-cri80-27w-60/","Ссылка")</f>
        <v>Ссылка</v>
      </c>
      <c r="AD953" s="167">
        <v>5284</v>
      </c>
    </row>
    <row r="954" spans="1:30" s="161" customFormat="1" ht="39.950000000000003" hidden="1" customHeight="1" outlineLevel="2" x14ac:dyDescent="0.25">
      <c r="A954" s="21"/>
      <c r="B954" s="21" t="s">
        <v>3289</v>
      </c>
      <c r="C954" s="159" t="s">
        <v>3292</v>
      </c>
      <c r="D954" s="161">
        <v>3240</v>
      </c>
      <c r="E954" s="161">
        <v>27</v>
      </c>
      <c r="F954" s="161">
        <v>120</v>
      </c>
      <c r="G954" s="161" t="s">
        <v>3322</v>
      </c>
      <c r="H954" s="161" t="s">
        <v>1617</v>
      </c>
      <c r="I954" s="161">
        <v>67</v>
      </c>
      <c r="J954" s="161" t="s">
        <v>105</v>
      </c>
      <c r="K954" s="21" t="s">
        <v>106</v>
      </c>
      <c r="L954" s="161" t="s">
        <v>3380</v>
      </c>
      <c r="M954" s="21" t="s">
        <v>2107</v>
      </c>
      <c r="N954" s="161" t="s">
        <v>108</v>
      </c>
      <c r="O954" s="21" t="s">
        <v>3351</v>
      </c>
      <c r="P954" s="161" t="s">
        <v>109</v>
      </c>
      <c r="Q954" s="21" t="s">
        <v>70</v>
      </c>
      <c r="R954" s="161">
        <v>80</v>
      </c>
      <c r="S954" s="161" t="s">
        <v>3352</v>
      </c>
      <c r="T954" s="161" t="s">
        <v>141</v>
      </c>
      <c r="U954" s="161" t="s">
        <v>142</v>
      </c>
      <c r="V954" s="21" t="s">
        <v>74</v>
      </c>
      <c r="W954" s="21" t="s">
        <v>112</v>
      </c>
      <c r="X954" s="161" t="s">
        <v>787</v>
      </c>
      <c r="Y954" s="161">
        <v>5.3949999999999996E-3</v>
      </c>
      <c r="Z954" s="161">
        <v>1.3</v>
      </c>
      <c r="AA954" s="161" t="s">
        <v>144</v>
      </c>
      <c r="AB954" s="161" t="s">
        <v>114</v>
      </c>
      <c r="AC954" s="266" t="str">
        <f>HYPERLINK("https://gcsvt.ru/svetodiodnyie-svetilniki/svt-str-m-cri80-27w-90/","Ссылка")</f>
        <v>Ссылка</v>
      </c>
      <c r="AD954" s="167">
        <v>5284</v>
      </c>
    </row>
    <row r="955" spans="1:30" s="161" customFormat="1" ht="39.950000000000003" hidden="1" customHeight="1" outlineLevel="2" x14ac:dyDescent="0.25">
      <c r="A955" s="21"/>
      <c r="B955" s="21" t="s">
        <v>3289</v>
      </c>
      <c r="C955" s="159" t="s">
        <v>3293</v>
      </c>
      <c r="D955" s="161">
        <v>3240</v>
      </c>
      <c r="E955" s="161">
        <v>27</v>
      </c>
      <c r="F955" s="161">
        <v>120</v>
      </c>
      <c r="G955" s="161" t="s">
        <v>3323</v>
      </c>
      <c r="H955" s="161" t="s">
        <v>192</v>
      </c>
      <c r="I955" s="161">
        <v>67</v>
      </c>
      <c r="J955" s="161" t="s">
        <v>105</v>
      </c>
      <c r="K955" s="21" t="s">
        <v>106</v>
      </c>
      <c r="L955" s="161" t="s">
        <v>3380</v>
      </c>
      <c r="M955" s="21" t="s">
        <v>2107</v>
      </c>
      <c r="N955" s="161" t="s">
        <v>108</v>
      </c>
      <c r="O955" s="21" t="s">
        <v>3351</v>
      </c>
      <c r="P955" s="161" t="s">
        <v>109</v>
      </c>
      <c r="Q955" s="21" t="s">
        <v>70</v>
      </c>
      <c r="R955" s="161">
        <v>80</v>
      </c>
      <c r="S955" s="161" t="s">
        <v>3352</v>
      </c>
      <c r="T955" s="161" t="s">
        <v>141</v>
      </c>
      <c r="U955" s="161" t="s">
        <v>142</v>
      </c>
      <c r="V955" s="21" t="s">
        <v>74</v>
      </c>
      <c r="W955" s="21" t="s">
        <v>112</v>
      </c>
      <c r="X955" s="161" t="s">
        <v>787</v>
      </c>
      <c r="Y955" s="161">
        <v>5.3949999999999996E-3</v>
      </c>
      <c r="Z955" s="161">
        <v>1.3</v>
      </c>
      <c r="AA955" s="161" t="s">
        <v>144</v>
      </c>
      <c r="AB955" s="161" t="s">
        <v>114</v>
      </c>
      <c r="AC955" s="266" t="str">
        <f>HYPERLINK("https://gcsvt.ru/svetodiodnyie-svetilniki/svt-str-m-cri80-27w-vsm/","Ссылка")</f>
        <v>Ссылка</v>
      </c>
      <c r="AD955" s="167">
        <v>5284</v>
      </c>
    </row>
    <row r="956" spans="1:30" s="161" customFormat="1" ht="39.950000000000003" hidden="1" customHeight="1" outlineLevel="2" x14ac:dyDescent="0.25">
      <c r="A956" s="21"/>
      <c r="B956" s="21" t="s">
        <v>3289</v>
      </c>
      <c r="C956" s="159" t="s">
        <v>3294</v>
      </c>
      <c r="D956" s="161">
        <v>3240</v>
      </c>
      <c r="E956" s="161">
        <v>27</v>
      </c>
      <c r="F956" s="161">
        <v>120</v>
      </c>
      <c r="G956" s="161" t="s">
        <v>3324</v>
      </c>
      <c r="H956" s="161" t="s">
        <v>3350</v>
      </c>
      <c r="I956" s="161">
        <v>67</v>
      </c>
      <c r="J956" s="161" t="s">
        <v>105</v>
      </c>
      <c r="K956" s="21" t="s">
        <v>106</v>
      </c>
      <c r="L956" s="161" t="s">
        <v>3380</v>
      </c>
      <c r="M956" s="21" t="s">
        <v>2107</v>
      </c>
      <c r="N956" s="161" t="s">
        <v>108</v>
      </c>
      <c r="O956" s="21" t="s">
        <v>3351</v>
      </c>
      <c r="P956" s="161" t="s">
        <v>109</v>
      </c>
      <c r="Q956" s="21" t="s">
        <v>70</v>
      </c>
      <c r="R956" s="161">
        <v>80</v>
      </c>
      <c r="S956" s="161" t="s">
        <v>3352</v>
      </c>
      <c r="T956" s="161" t="s">
        <v>141</v>
      </c>
      <c r="U956" s="161" t="s">
        <v>142</v>
      </c>
      <c r="V956" s="21" t="s">
        <v>74</v>
      </c>
      <c r="W956" s="21" t="s">
        <v>112</v>
      </c>
      <c r="X956" s="161" t="s">
        <v>787</v>
      </c>
      <c r="Y956" s="161">
        <v>5.3949999999999996E-3</v>
      </c>
      <c r="Z956" s="161">
        <v>1.3</v>
      </c>
      <c r="AA956" s="161" t="s">
        <v>144</v>
      </c>
      <c r="AB956" s="161" t="s">
        <v>114</v>
      </c>
      <c r="AC956" s="266" t="str">
        <f>HYPERLINK("https://gcsvt.ru/svetodiodnyie-svetilniki/svt-str-m-cri80-27w-157x90/","Ссылка")</f>
        <v>Ссылка</v>
      </c>
      <c r="AD956" s="167">
        <v>5284</v>
      </c>
    </row>
    <row r="957" spans="1:30" s="161" customFormat="1" ht="39.950000000000003" hidden="1" customHeight="1" outlineLevel="2" x14ac:dyDescent="0.25">
      <c r="A957" s="21"/>
      <c r="B957" s="21" t="s">
        <v>3289</v>
      </c>
      <c r="C957" s="159" t="s">
        <v>3295</v>
      </c>
      <c r="D957" s="161">
        <v>3240</v>
      </c>
      <c r="E957" s="161">
        <v>27</v>
      </c>
      <c r="F957" s="161">
        <v>120</v>
      </c>
      <c r="G957" s="161" t="s">
        <v>3325</v>
      </c>
      <c r="H957" s="161" t="s">
        <v>3350</v>
      </c>
      <c r="I957" s="161">
        <v>67</v>
      </c>
      <c r="J957" s="161" t="s">
        <v>105</v>
      </c>
      <c r="K957" s="21" t="s">
        <v>106</v>
      </c>
      <c r="L957" s="161" t="s">
        <v>3380</v>
      </c>
      <c r="M957" s="21" t="s">
        <v>2107</v>
      </c>
      <c r="N957" s="161" t="s">
        <v>108</v>
      </c>
      <c r="O957" s="21" t="s">
        <v>3351</v>
      </c>
      <c r="P957" s="161" t="s">
        <v>109</v>
      </c>
      <c r="Q957" s="21" t="s">
        <v>70</v>
      </c>
      <c r="R957" s="161">
        <v>80</v>
      </c>
      <c r="S957" s="161" t="s">
        <v>3352</v>
      </c>
      <c r="T957" s="161" t="s">
        <v>141</v>
      </c>
      <c r="U957" s="161" t="s">
        <v>142</v>
      </c>
      <c r="V957" s="21" t="s">
        <v>74</v>
      </c>
      <c r="W957" s="21" t="s">
        <v>160</v>
      </c>
      <c r="X957" s="161" t="s">
        <v>787</v>
      </c>
      <c r="Y957" s="161">
        <v>5.3949999999999996E-3</v>
      </c>
      <c r="Z957" s="161">
        <v>1.3</v>
      </c>
      <c r="AA957" s="161" t="s">
        <v>144</v>
      </c>
      <c r="AB957" s="161" t="s">
        <v>114</v>
      </c>
      <c r="AC957" s="266" t="str">
        <f>HYPERLINK("https://gcsvt.ru/svetodiodnyie-svetilniki/svt-str-m-cri80-27w-157x90-c/","Ссылка")</f>
        <v>Ссылка</v>
      </c>
      <c r="AD957" s="167">
        <v>5284</v>
      </c>
    </row>
    <row r="958" spans="1:30" s="161" customFormat="1" ht="39.950000000000003" hidden="1" customHeight="1" outlineLevel="2" x14ac:dyDescent="0.25">
      <c r="A958" s="21"/>
      <c r="B958" s="21" t="s">
        <v>3289</v>
      </c>
      <c r="C958" s="159" t="s">
        <v>3296</v>
      </c>
      <c r="D958" s="161">
        <v>6490</v>
      </c>
      <c r="E958" s="161">
        <v>55</v>
      </c>
      <c r="F958" s="161">
        <v>118</v>
      </c>
      <c r="G958" s="161" t="s">
        <v>3326</v>
      </c>
      <c r="H958" s="161" t="s">
        <v>81</v>
      </c>
      <c r="I958" s="161">
        <v>67</v>
      </c>
      <c r="J958" s="161" t="s">
        <v>105</v>
      </c>
      <c r="K958" s="21" t="s">
        <v>106</v>
      </c>
      <c r="L958" s="161" t="s">
        <v>3380</v>
      </c>
      <c r="M958" s="21" t="s">
        <v>2107</v>
      </c>
      <c r="N958" s="161" t="s">
        <v>108</v>
      </c>
      <c r="O958" s="21" t="s">
        <v>3351</v>
      </c>
      <c r="P958" s="161" t="s">
        <v>109</v>
      </c>
      <c r="Q958" s="21" t="s">
        <v>70</v>
      </c>
      <c r="R958" s="161">
        <v>80</v>
      </c>
      <c r="S958" s="161" t="s">
        <v>3354</v>
      </c>
      <c r="T958" s="161" t="s">
        <v>141</v>
      </c>
      <c r="U958" s="161" t="s">
        <v>142</v>
      </c>
      <c r="V958" s="21" t="s">
        <v>74</v>
      </c>
      <c r="W958" s="21" t="s">
        <v>112</v>
      </c>
      <c r="X958" s="161" t="s">
        <v>820</v>
      </c>
      <c r="Y958" s="161">
        <v>1.1440000000000001E-2</v>
      </c>
      <c r="Z958" s="161">
        <v>1.8</v>
      </c>
      <c r="AA958" s="161" t="s">
        <v>144</v>
      </c>
      <c r="AB958" s="161" t="s">
        <v>114</v>
      </c>
      <c r="AC958" s="266" t="str">
        <f>HYPERLINK("https://gcsvt.ru/svetodiodnyie-svetilniki/svt-str-m-cri80-55w-30/","Ссылка")</f>
        <v>Ссылка</v>
      </c>
      <c r="AD958" s="167">
        <v>6916</v>
      </c>
    </row>
    <row r="959" spans="1:30" s="161" customFormat="1" ht="39.950000000000003" hidden="1" customHeight="1" outlineLevel="2" x14ac:dyDescent="0.25">
      <c r="A959" s="21"/>
      <c r="B959" s="21" t="s">
        <v>3289</v>
      </c>
      <c r="C959" s="159" t="s">
        <v>3297</v>
      </c>
      <c r="D959" s="161">
        <v>6490</v>
      </c>
      <c r="E959" s="161">
        <v>55</v>
      </c>
      <c r="F959" s="161">
        <v>118</v>
      </c>
      <c r="G959" s="161" t="s">
        <v>3327</v>
      </c>
      <c r="H959" s="161" t="s">
        <v>84</v>
      </c>
      <c r="I959" s="161">
        <v>67</v>
      </c>
      <c r="J959" s="161" t="s">
        <v>105</v>
      </c>
      <c r="K959" s="21" t="s">
        <v>106</v>
      </c>
      <c r="L959" s="161" t="s">
        <v>3380</v>
      </c>
      <c r="M959" s="21" t="s">
        <v>2107</v>
      </c>
      <c r="N959" s="161" t="s">
        <v>108</v>
      </c>
      <c r="O959" s="21" t="s">
        <v>3351</v>
      </c>
      <c r="P959" s="161" t="s">
        <v>109</v>
      </c>
      <c r="Q959" s="21" t="s">
        <v>70</v>
      </c>
      <c r="R959" s="161">
        <v>80</v>
      </c>
      <c r="S959" s="161" t="s">
        <v>3354</v>
      </c>
      <c r="T959" s="161" t="s">
        <v>141</v>
      </c>
      <c r="U959" s="161" t="s">
        <v>142</v>
      </c>
      <c r="V959" s="21" t="s">
        <v>74</v>
      </c>
      <c r="W959" s="21" t="s">
        <v>112</v>
      </c>
      <c r="X959" s="161" t="s">
        <v>820</v>
      </c>
      <c r="Y959" s="161">
        <v>1.1440000000000001E-2</v>
      </c>
      <c r="Z959" s="161">
        <v>1.8</v>
      </c>
      <c r="AA959" s="161" t="s">
        <v>144</v>
      </c>
      <c r="AB959" s="161" t="s">
        <v>114</v>
      </c>
      <c r="AC959" s="266" t="str">
        <f>HYPERLINK("https://gcsvt.ru/svetodiodnyie-svetilniki/svt-str-m-cri80-55w-60/","Ссылка")</f>
        <v>Ссылка</v>
      </c>
      <c r="AD959" s="167">
        <v>6916</v>
      </c>
    </row>
    <row r="960" spans="1:30" s="161" customFormat="1" ht="39.950000000000003" hidden="1" customHeight="1" outlineLevel="2" x14ac:dyDescent="0.25">
      <c r="A960" s="21"/>
      <c r="B960" s="21" t="s">
        <v>3289</v>
      </c>
      <c r="C960" s="159" t="s">
        <v>3298</v>
      </c>
      <c r="D960" s="161">
        <v>6490</v>
      </c>
      <c r="E960" s="161">
        <v>55</v>
      </c>
      <c r="F960" s="161">
        <v>118</v>
      </c>
      <c r="G960" s="161" t="s">
        <v>3328</v>
      </c>
      <c r="H960" s="161" t="s">
        <v>1617</v>
      </c>
      <c r="I960" s="161">
        <v>67</v>
      </c>
      <c r="J960" s="161" t="s">
        <v>105</v>
      </c>
      <c r="K960" s="21" t="s">
        <v>106</v>
      </c>
      <c r="L960" s="161" t="s">
        <v>3380</v>
      </c>
      <c r="M960" s="21" t="s">
        <v>2107</v>
      </c>
      <c r="N960" s="161" t="s">
        <v>108</v>
      </c>
      <c r="O960" s="21" t="s">
        <v>3351</v>
      </c>
      <c r="P960" s="161" t="s">
        <v>109</v>
      </c>
      <c r="Q960" s="21" t="s">
        <v>70</v>
      </c>
      <c r="R960" s="161">
        <v>80</v>
      </c>
      <c r="S960" s="161" t="s">
        <v>3354</v>
      </c>
      <c r="T960" s="161" t="s">
        <v>141</v>
      </c>
      <c r="U960" s="161" t="s">
        <v>142</v>
      </c>
      <c r="V960" s="21" t="s">
        <v>74</v>
      </c>
      <c r="W960" s="21" t="s">
        <v>112</v>
      </c>
      <c r="X960" s="161" t="s">
        <v>820</v>
      </c>
      <c r="Y960" s="161">
        <v>1.1440000000000001E-2</v>
      </c>
      <c r="Z960" s="161">
        <v>1.8</v>
      </c>
      <c r="AA960" s="161" t="s">
        <v>144</v>
      </c>
      <c r="AB960" s="161" t="s">
        <v>114</v>
      </c>
      <c r="AC960" s="266" t="str">
        <f>HYPERLINK("https://gcsvt.ru/svetodiodnyie-svetilniki/svt-str-m-cri80-55w-90/","Ссылка")</f>
        <v>Ссылка</v>
      </c>
      <c r="AD960" s="167">
        <v>6916</v>
      </c>
    </row>
    <row r="961" spans="1:30" s="161" customFormat="1" ht="39.950000000000003" hidden="1" customHeight="1" outlineLevel="2" x14ac:dyDescent="0.25">
      <c r="A961" s="21"/>
      <c r="B961" s="21" t="s">
        <v>3289</v>
      </c>
      <c r="C961" s="159" t="s">
        <v>3299</v>
      </c>
      <c r="D961" s="161">
        <v>6490</v>
      </c>
      <c r="E961" s="161">
        <v>55</v>
      </c>
      <c r="F961" s="161">
        <v>118</v>
      </c>
      <c r="G961" s="161" t="s">
        <v>3329</v>
      </c>
      <c r="H961" s="161" t="s">
        <v>192</v>
      </c>
      <c r="I961" s="161">
        <v>67</v>
      </c>
      <c r="J961" s="161" t="s">
        <v>105</v>
      </c>
      <c r="K961" s="21" t="s">
        <v>106</v>
      </c>
      <c r="L961" s="161" t="s">
        <v>3380</v>
      </c>
      <c r="M961" s="21" t="s">
        <v>2107</v>
      </c>
      <c r="N961" s="161" t="s">
        <v>108</v>
      </c>
      <c r="O961" s="21" t="s">
        <v>3351</v>
      </c>
      <c r="P961" s="161" t="s">
        <v>109</v>
      </c>
      <c r="Q961" s="21" t="s">
        <v>70</v>
      </c>
      <c r="R961" s="161">
        <v>80</v>
      </c>
      <c r="S961" s="161" t="s">
        <v>3354</v>
      </c>
      <c r="T961" s="161" t="s">
        <v>141</v>
      </c>
      <c r="U961" s="161" t="s">
        <v>142</v>
      </c>
      <c r="V961" s="21" t="s">
        <v>74</v>
      </c>
      <c r="W961" s="21" t="s">
        <v>112</v>
      </c>
      <c r="X961" s="161" t="s">
        <v>820</v>
      </c>
      <c r="Y961" s="161">
        <v>1.1440000000000001E-2</v>
      </c>
      <c r="Z961" s="161">
        <v>1.8</v>
      </c>
      <c r="AA961" s="161" t="s">
        <v>144</v>
      </c>
      <c r="AB961" s="161" t="s">
        <v>114</v>
      </c>
      <c r="AC961" s="266" t="str">
        <f>HYPERLINK("https://gcsvt.ru/svetodiodnyie-svetilniki/svt-str-m-cri80-55w-vsm/","Ссылка")</f>
        <v>Ссылка</v>
      </c>
      <c r="AD961" s="167">
        <v>6916</v>
      </c>
    </row>
    <row r="962" spans="1:30" s="161" customFormat="1" ht="39.950000000000003" hidden="1" customHeight="1" outlineLevel="2" x14ac:dyDescent="0.25">
      <c r="A962" s="21"/>
      <c r="B962" s="21" t="s">
        <v>3289</v>
      </c>
      <c r="C962" s="159" t="s">
        <v>3300</v>
      </c>
      <c r="D962" s="161">
        <v>6490</v>
      </c>
      <c r="E962" s="161">
        <v>55</v>
      </c>
      <c r="F962" s="161">
        <v>118</v>
      </c>
      <c r="G962" s="161" t="s">
        <v>3330</v>
      </c>
      <c r="H962" s="161" t="s">
        <v>3350</v>
      </c>
      <c r="I962" s="161">
        <v>67</v>
      </c>
      <c r="J962" s="161" t="s">
        <v>105</v>
      </c>
      <c r="K962" s="21" t="s">
        <v>106</v>
      </c>
      <c r="L962" s="161" t="s">
        <v>3380</v>
      </c>
      <c r="M962" s="21" t="s">
        <v>2107</v>
      </c>
      <c r="N962" s="161" t="s">
        <v>108</v>
      </c>
      <c r="O962" s="21" t="s">
        <v>3351</v>
      </c>
      <c r="P962" s="161" t="s">
        <v>109</v>
      </c>
      <c r="Q962" s="21" t="s">
        <v>70</v>
      </c>
      <c r="R962" s="161">
        <v>80</v>
      </c>
      <c r="S962" s="161" t="s">
        <v>3354</v>
      </c>
      <c r="T962" s="161" t="s">
        <v>141</v>
      </c>
      <c r="U962" s="161" t="s">
        <v>142</v>
      </c>
      <c r="V962" s="21" t="s">
        <v>74</v>
      </c>
      <c r="W962" s="21" t="s">
        <v>112</v>
      </c>
      <c r="X962" s="161" t="s">
        <v>820</v>
      </c>
      <c r="Y962" s="161">
        <v>1.1440000000000001E-2</v>
      </c>
      <c r="Z962" s="161">
        <v>1.8</v>
      </c>
      <c r="AA962" s="161" t="s">
        <v>144</v>
      </c>
      <c r="AB962" s="161" t="s">
        <v>114</v>
      </c>
      <c r="AC962" s="266" t="str">
        <f>HYPERLINK("https://gcsvt.ru/svetodiodnyie-svetilniki/svt-str-m-cri80-55w-157x90/","Ссылка")</f>
        <v>Ссылка</v>
      </c>
      <c r="AD962" s="167">
        <v>6916</v>
      </c>
    </row>
    <row r="963" spans="1:30" s="161" customFormat="1" ht="39.950000000000003" hidden="1" customHeight="1" outlineLevel="2" x14ac:dyDescent="0.25">
      <c r="A963" s="21"/>
      <c r="B963" s="21" t="s">
        <v>3289</v>
      </c>
      <c r="C963" s="159" t="s">
        <v>3301</v>
      </c>
      <c r="D963" s="161">
        <v>6490</v>
      </c>
      <c r="E963" s="161">
        <v>55</v>
      </c>
      <c r="F963" s="161">
        <v>118</v>
      </c>
      <c r="G963" s="161" t="s">
        <v>3331</v>
      </c>
      <c r="H963" s="161" t="s">
        <v>3350</v>
      </c>
      <c r="I963" s="161">
        <v>67</v>
      </c>
      <c r="J963" s="161" t="s">
        <v>105</v>
      </c>
      <c r="K963" s="21" t="s">
        <v>106</v>
      </c>
      <c r="L963" s="161" t="s">
        <v>3380</v>
      </c>
      <c r="M963" s="21" t="s">
        <v>2107</v>
      </c>
      <c r="N963" s="161" t="s">
        <v>108</v>
      </c>
      <c r="O963" s="21" t="s">
        <v>3351</v>
      </c>
      <c r="P963" s="161" t="s">
        <v>109</v>
      </c>
      <c r="Q963" s="21" t="s">
        <v>70</v>
      </c>
      <c r="R963" s="161">
        <v>80</v>
      </c>
      <c r="S963" s="161" t="s">
        <v>3354</v>
      </c>
      <c r="T963" s="161" t="s">
        <v>141</v>
      </c>
      <c r="U963" s="161" t="s">
        <v>142</v>
      </c>
      <c r="V963" s="21" t="s">
        <v>74</v>
      </c>
      <c r="W963" s="21" t="s">
        <v>160</v>
      </c>
      <c r="X963" s="161" t="s">
        <v>820</v>
      </c>
      <c r="Y963" s="161">
        <v>1.1440000000000001E-2</v>
      </c>
      <c r="Z963" s="161">
        <v>1.8</v>
      </c>
      <c r="AA963" s="161" t="s">
        <v>144</v>
      </c>
      <c r="AB963" s="161" t="s">
        <v>114</v>
      </c>
      <c r="AC963" s="266" t="str">
        <f>HYPERLINK("https://gcsvt.ru/svetodiodnyie-svetilniki/svt-str-m-cri80-55w-157x90-c/","Ссылка")</f>
        <v>Ссылка</v>
      </c>
      <c r="AD963" s="167">
        <v>6916</v>
      </c>
    </row>
    <row r="964" spans="1:30" s="161" customFormat="1" ht="39.950000000000003" hidden="1" customHeight="1" outlineLevel="2" x14ac:dyDescent="0.25">
      <c r="A964" s="21"/>
      <c r="B964" s="21" t="s">
        <v>3289</v>
      </c>
      <c r="C964" s="159" t="s">
        <v>3302</v>
      </c>
      <c r="D964" s="161">
        <v>9720</v>
      </c>
      <c r="E964" s="161">
        <v>81</v>
      </c>
      <c r="F964" s="161">
        <v>120</v>
      </c>
      <c r="G964" s="161" t="s">
        <v>3332</v>
      </c>
      <c r="H964" s="161" t="s">
        <v>81</v>
      </c>
      <c r="I964" s="161">
        <v>67</v>
      </c>
      <c r="J964" s="161" t="s">
        <v>105</v>
      </c>
      <c r="K964" s="21" t="s">
        <v>106</v>
      </c>
      <c r="L964" s="161" t="s">
        <v>3380</v>
      </c>
      <c r="M964" s="21" t="s">
        <v>3353</v>
      </c>
      <c r="N964" s="161" t="s">
        <v>67</v>
      </c>
      <c r="O964" s="21" t="s">
        <v>3351</v>
      </c>
      <c r="P964" s="161" t="s">
        <v>109</v>
      </c>
      <c r="Q964" s="21" t="s">
        <v>70</v>
      </c>
      <c r="R964" s="161">
        <v>80</v>
      </c>
      <c r="S964" s="161" t="s">
        <v>3355</v>
      </c>
      <c r="T964" s="161" t="s">
        <v>141</v>
      </c>
      <c r="U964" s="161" t="s">
        <v>142</v>
      </c>
      <c r="V964" s="21" t="s">
        <v>74</v>
      </c>
      <c r="W964" s="21" t="s">
        <v>112</v>
      </c>
      <c r="X964" s="161" t="s">
        <v>853</v>
      </c>
      <c r="Y964" s="161">
        <v>1.6951999999999998E-2</v>
      </c>
      <c r="Z964" s="161">
        <v>2.6</v>
      </c>
      <c r="AA964" s="161" t="s">
        <v>77</v>
      </c>
      <c r="AB964" s="161" t="s">
        <v>114</v>
      </c>
      <c r="AC964" s="266" t="str">
        <f>HYPERLINK("https://gcsvt.ru/svetodiodnyie-svetilniki/svt-str-m-cri80-81w-30/","Ссылка")</f>
        <v>Ссылка</v>
      </c>
      <c r="AD964" s="167">
        <v>10333</v>
      </c>
    </row>
    <row r="965" spans="1:30" s="161" customFormat="1" ht="39.950000000000003" hidden="1" customHeight="1" outlineLevel="2" x14ac:dyDescent="0.25">
      <c r="A965" s="21"/>
      <c r="B965" s="21" t="s">
        <v>3289</v>
      </c>
      <c r="C965" s="159" t="s">
        <v>3303</v>
      </c>
      <c r="D965" s="161">
        <v>9720</v>
      </c>
      <c r="E965" s="161">
        <v>81</v>
      </c>
      <c r="F965" s="161">
        <v>120</v>
      </c>
      <c r="G965" s="161" t="s">
        <v>3333</v>
      </c>
      <c r="H965" s="161" t="s">
        <v>84</v>
      </c>
      <c r="I965" s="161">
        <v>67</v>
      </c>
      <c r="J965" s="161" t="s">
        <v>105</v>
      </c>
      <c r="K965" s="21" t="s">
        <v>106</v>
      </c>
      <c r="L965" s="161" t="s">
        <v>3380</v>
      </c>
      <c r="M965" s="21" t="s">
        <v>3353</v>
      </c>
      <c r="N965" s="161" t="s">
        <v>67</v>
      </c>
      <c r="O965" s="21" t="s">
        <v>3351</v>
      </c>
      <c r="P965" s="161" t="s">
        <v>109</v>
      </c>
      <c r="Q965" s="21" t="s">
        <v>70</v>
      </c>
      <c r="R965" s="161">
        <v>80</v>
      </c>
      <c r="S965" s="161" t="s">
        <v>3355</v>
      </c>
      <c r="T965" s="161" t="s">
        <v>141</v>
      </c>
      <c r="U965" s="161" t="s">
        <v>142</v>
      </c>
      <c r="V965" s="21" t="s">
        <v>74</v>
      </c>
      <c r="W965" s="21" t="s">
        <v>112</v>
      </c>
      <c r="X965" s="161" t="s">
        <v>853</v>
      </c>
      <c r="Y965" s="161">
        <v>1.6951999999999998E-2</v>
      </c>
      <c r="Z965" s="161">
        <v>2.6</v>
      </c>
      <c r="AA965" s="161" t="s">
        <v>77</v>
      </c>
      <c r="AB965" s="161" t="s">
        <v>114</v>
      </c>
      <c r="AC965" s="266" t="str">
        <f>HYPERLINK("https://gcsvt.ru/svetodiodnyie-svetilniki/svt-str-m-cri80-81w-60/","Ссылка")</f>
        <v>Ссылка</v>
      </c>
      <c r="AD965" s="167">
        <v>10333</v>
      </c>
    </row>
    <row r="966" spans="1:30" s="161" customFormat="1" ht="39.950000000000003" hidden="1" customHeight="1" outlineLevel="2" x14ac:dyDescent="0.25">
      <c r="A966" s="21"/>
      <c r="B966" s="21" t="s">
        <v>3289</v>
      </c>
      <c r="C966" s="159" t="s">
        <v>3304</v>
      </c>
      <c r="D966" s="161">
        <v>9720</v>
      </c>
      <c r="E966" s="161">
        <v>81</v>
      </c>
      <c r="F966" s="161">
        <v>120</v>
      </c>
      <c r="G966" s="161" t="s">
        <v>3334</v>
      </c>
      <c r="H966" s="161" t="s">
        <v>1617</v>
      </c>
      <c r="I966" s="161">
        <v>67</v>
      </c>
      <c r="J966" s="161" t="s">
        <v>105</v>
      </c>
      <c r="K966" s="21" t="s">
        <v>106</v>
      </c>
      <c r="L966" s="161" t="s">
        <v>3380</v>
      </c>
      <c r="M966" s="21" t="s">
        <v>3353</v>
      </c>
      <c r="N966" s="161" t="s">
        <v>67</v>
      </c>
      <c r="O966" s="21" t="s">
        <v>3351</v>
      </c>
      <c r="P966" s="161" t="s">
        <v>109</v>
      </c>
      <c r="Q966" s="21" t="s">
        <v>70</v>
      </c>
      <c r="R966" s="161">
        <v>80</v>
      </c>
      <c r="S966" s="161" t="s">
        <v>3355</v>
      </c>
      <c r="T966" s="161" t="s">
        <v>141</v>
      </c>
      <c r="U966" s="161" t="s">
        <v>142</v>
      </c>
      <c r="V966" s="21" t="s">
        <v>74</v>
      </c>
      <c r="W966" s="21" t="s">
        <v>112</v>
      </c>
      <c r="X966" s="161" t="s">
        <v>853</v>
      </c>
      <c r="Y966" s="161">
        <v>1.6951999999999998E-2</v>
      </c>
      <c r="Z966" s="161">
        <v>2.6</v>
      </c>
      <c r="AA966" s="161" t="s">
        <v>77</v>
      </c>
      <c r="AB966" s="161" t="s">
        <v>114</v>
      </c>
      <c r="AC966" s="266" t="str">
        <f>HYPERLINK("https://gcsvt.ru/svetodiodnyie-svetilniki/svt-str-m-cri80-81w-90/","Ссылка")</f>
        <v>Ссылка</v>
      </c>
      <c r="AD966" s="167">
        <v>10333</v>
      </c>
    </row>
    <row r="967" spans="1:30" s="161" customFormat="1" ht="39.950000000000003" hidden="1" customHeight="1" outlineLevel="2" x14ac:dyDescent="0.25">
      <c r="A967" s="21"/>
      <c r="B967" s="21" t="s">
        <v>3289</v>
      </c>
      <c r="C967" s="159" t="s">
        <v>3305</v>
      </c>
      <c r="D967" s="161">
        <v>9720</v>
      </c>
      <c r="E967" s="161">
        <v>81</v>
      </c>
      <c r="F967" s="161">
        <v>120</v>
      </c>
      <c r="G967" s="161" t="s">
        <v>3335</v>
      </c>
      <c r="H967" s="161" t="s">
        <v>192</v>
      </c>
      <c r="I967" s="161">
        <v>67</v>
      </c>
      <c r="J967" s="161" t="s">
        <v>105</v>
      </c>
      <c r="K967" s="21" t="s">
        <v>106</v>
      </c>
      <c r="L967" s="161" t="s">
        <v>3380</v>
      </c>
      <c r="M967" s="21" t="s">
        <v>3353</v>
      </c>
      <c r="N967" s="161" t="s">
        <v>67</v>
      </c>
      <c r="O967" s="21" t="s">
        <v>3351</v>
      </c>
      <c r="P967" s="161" t="s">
        <v>109</v>
      </c>
      <c r="Q967" s="21" t="s">
        <v>70</v>
      </c>
      <c r="R967" s="161">
        <v>80</v>
      </c>
      <c r="S967" s="161" t="s">
        <v>3355</v>
      </c>
      <c r="T967" s="161" t="s">
        <v>141</v>
      </c>
      <c r="U967" s="161" t="s">
        <v>142</v>
      </c>
      <c r="V967" s="21" t="s">
        <v>74</v>
      </c>
      <c r="W967" s="21" t="s">
        <v>112</v>
      </c>
      <c r="X967" s="161" t="s">
        <v>853</v>
      </c>
      <c r="Y967" s="161">
        <v>1.6951999999999998E-2</v>
      </c>
      <c r="Z967" s="161">
        <v>2.6</v>
      </c>
      <c r="AA967" s="161" t="s">
        <v>77</v>
      </c>
      <c r="AB967" s="161" t="s">
        <v>114</v>
      </c>
      <c r="AC967" s="266" t="str">
        <f>HYPERLINK("https://gcsvt.ru/svetodiodnyie-svetilniki/svt-str-m-cri80-81w-vsm/","Ссылка")</f>
        <v>Ссылка</v>
      </c>
      <c r="AD967" s="167">
        <v>10333</v>
      </c>
    </row>
    <row r="968" spans="1:30" s="161" customFormat="1" ht="39.950000000000003" hidden="1" customHeight="1" outlineLevel="2" x14ac:dyDescent="0.25">
      <c r="A968" s="21"/>
      <c r="B968" s="21" t="s">
        <v>3289</v>
      </c>
      <c r="C968" s="159" t="s">
        <v>3306</v>
      </c>
      <c r="D968" s="161">
        <v>9720</v>
      </c>
      <c r="E968" s="161">
        <v>81</v>
      </c>
      <c r="F968" s="161">
        <v>120</v>
      </c>
      <c r="G968" s="161" t="s">
        <v>3336</v>
      </c>
      <c r="H968" s="161" t="s">
        <v>3350</v>
      </c>
      <c r="I968" s="161">
        <v>67</v>
      </c>
      <c r="J968" s="161" t="s">
        <v>105</v>
      </c>
      <c r="K968" s="21" t="s">
        <v>106</v>
      </c>
      <c r="L968" s="161" t="s">
        <v>3380</v>
      </c>
      <c r="M968" s="21" t="s">
        <v>3353</v>
      </c>
      <c r="N968" s="161" t="s">
        <v>67</v>
      </c>
      <c r="O968" s="21" t="s">
        <v>3351</v>
      </c>
      <c r="P968" s="161" t="s">
        <v>109</v>
      </c>
      <c r="Q968" s="21" t="s">
        <v>70</v>
      </c>
      <c r="R968" s="161">
        <v>80</v>
      </c>
      <c r="S968" s="161" t="s">
        <v>3355</v>
      </c>
      <c r="T968" s="161" t="s">
        <v>141</v>
      </c>
      <c r="U968" s="161" t="s">
        <v>142</v>
      </c>
      <c r="V968" s="21" t="s">
        <v>74</v>
      </c>
      <c r="W968" s="21" t="s">
        <v>112</v>
      </c>
      <c r="X968" s="161" t="s">
        <v>853</v>
      </c>
      <c r="Y968" s="161">
        <v>1.6951999999999998E-2</v>
      </c>
      <c r="Z968" s="161">
        <v>2.6</v>
      </c>
      <c r="AA968" s="161" t="s">
        <v>77</v>
      </c>
      <c r="AB968" s="161" t="s">
        <v>114</v>
      </c>
      <c r="AC968" s="266" t="str">
        <f>HYPERLINK("https://gcsvt.ru/svetodiodnyie-svetilniki/svt-str-m-cri80-81w-157x90/","Ссылка")</f>
        <v>Ссылка</v>
      </c>
      <c r="AD968" s="167">
        <v>10333</v>
      </c>
    </row>
    <row r="969" spans="1:30" s="161" customFormat="1" ht="39.950000000000003" hidden="1" customHeight="1" outlineLevel="2" x14ac:dyDescent="0.25">
      <c r="A969" s="21"/>
      <c r="B969" s="21" t="s">
        <v>3289</v>
      </c>
      <c r="C969" s="159" t="s">
        <v>3307</v>
      </c>
      <c r="D969" s="161">
        <v>9720</v>
      </c>
      <c r="E969" s="161">
        <v>81</v>
      </c>
      <c r="F969" s="161">
        <v>120</v>
      </c>
      <c r="G969" s="161" t="s">
        <v>3337</v>
      </c>
      <c r="H969" s="161" t="s">
        <v>3350</v>
      </c>
      <c r="I969" s="161">
        <v>67</v>
      </c>
      <c r="J969" s="161" t="s">
        <v>105</v>
      </c>
      <c r="K969" s="21" t="s">
        <v>106</v>
      </c>
      <c r="L969" s="161" t="s">
        <v>3380</v>
      </c>
      <c r="M969" s="21" t="s">
        <v>3353</v>
      </c>
      <c r="N969" s="161" t="s">
        <v>67</v>
      </c>
      <c r="O969" s="21" t="s">
        <v>3351</v>
      </c>
      <c r="P969" s="161" t="s">
        <v>109</v>
      </c>
      <c r="Q969" s="21" t="s">
        <v>70</v>
      </c>
      <c r="R969" s="161">
        <v>80</v>
      </c>
      <c r="S969" s="161" t="s">
        <v>3355</v>
      </c>
      <c r="T969" s="161" t="s">
        <v>141</v>
      </c>
      <c r="U969" s="161" t="s">
        <v>142</v>
      </c>
      <c r="V969" s="21" t="s">
        <v>74</v>
      </c>
      <c r="W969" s="21" t="s">
        <v>160</v>
      </c>
      <c r="X969" s="161" t="s">
        <v>853</v>
      </c>
      <c r="Y969" s="161">
        <v>1.6951999999999998E-2</v>
      </c>
      <c r="Z969" s="161">
        <v>2.6</v>
      </c>
      <c r="AA969" s="161" t="s">
        <v>77</v>
      </c>
      <c r="AB969" s="161" t="s">
        <v>114</v>
      </c>
      <c r="AC969" s="266" t="str">
        <f>HYPERLINK("https://gcsvt.ru/svetodiodnyie-svetilniki/svt-str-m-cri80-81w-157x90-c/","Ссылка")</f>
        <v>Ссылка</v>
      </c>
      <c r="AD969" s="167">
        <v>10333</v>
      </c>
    </row>
    <row r="970" spans="1:30" s="161" customFormat="1" ht="39.950000000000003" hidden="1" customHeight="1" outlineLevel="2" x14ac:dyDescent="0.25">
      <c r="A970" s="21"/>
      <c r="B970" s="21" t="s">
        <v>3289</v>
      </c>
      <c r="C970" s="159" t="s">
        <v>3308</v>
      </c>
      <c r="D970" s="161">
        <v>3240</v>
      </c>
      <c r="E970" s="161">
        <v>27</v>
      </c>
      <c r="F970" s="161">
        <v>120</v>
      </c>
      <c r="G970" s="161" t="s">
        <v>3338</v>
      </c>
      <c r="H970" s="161" t="s">
        <v>81</v>
      </c>
      <c r="I970" s="161">
        <v>67</v>
      </c>
      <c r="J970" s="161" t="s">
        <v>105</v>
      </c>
      <c r="K970" s="21" t="s">
        <v>106</v>
      </c>
      <c r="L970" s="161" t="s">
        <v>3380</v>
      </c>
      <c r="M970" s="21" t="s">
        <v>3353</v>
      </c>
      <c r="N970" s="161" t="s">
        <v>67</v>
      </c>
      <c r="O970" s="21" t="s">
        <v>3351</v>
      </c>
      <c r="P970" s="161" t="s">
        <v>109</v>
      </c>
      <c r="Q970" s="21" t="s">
        <v>70</v>
      </c>
      <c r="R970" s="161">
        <v>80</v>
      </c>
      <c r="S970" s="161" t="s">
        <v>3352</v>
      </c>
      <c r="T970" s="161" t="s">
        <v>141</v>
      </c>
      <c r="U970" s="161" t="s">
        <v>142</v>
      </c>
      <c r="V970" s="21" t="s">
        <v>74</v>
      </c>
      <c r="W970" s="21" t="s">
        <v>112</v>
      </c>
      <c r="X970" s="161" t="s">
        <v>787</v>
      </c>
      <c r="Y970" s="161">
        <v>5.3949999999999996E-3</v>
      </c>
      <c r="Z970" s="161">
        <v>1.3</v>
      </c>
      <c r="AA970" s="161" t="s">
        <v>144</v>
      </c>
      <c r="AB970" s="161" t="s">
        <v>114</v>
      </c>
      <c r="AC970" s="266" t="str">
        <f>HYPERLINK("https://gcsvt.ru/svetodiodnyie-svetilniki/svt-str-m-cri80-27w-30-s-zashchitoy-ot-380/","Ссылка")</f>
        <v>Ссылка</v>
      </c>
      <c r="AD970" s="167">
        <v>5529</v>
      </c>
    </row>
    <row r="971" spans="1:30" s="161" customFormat="1" ht="39.950000000000003" hidden="1" customHeight="1" outlineLevel="2" x14ac:dyDescent="0.25">
      <c r="A971" s="21"/>
      <c r="B971" s="21" t="s">
        <v>3289</v>
      </c>
      <c r="C971" s="159" t="s">
        <v>3309</v>
      </c>
      <c r="D971" s="161">
        <v>3240</v>
      </c>
      <c r="E971" s="161">
        <v>27</v>
      </c>
      <c r="F971" s="161">
        <v>120</v>
      </c>
      <c r="G971" s="161" t="s">
        <v>3339</v>
      </c>
      <c r="H971" s="161" t="s">
        <v>84</v>
      </c>
      <c r="I971" s="161">
        <v>67</v>
      </c>
      <c r="J971" s="161" t="s">
        <v>105</v>
      </c>
      <c r="K971" s="21" t="s">
        <v>106</v>
      </c>
      <c r="L971" s="161" t="s">
        <v>3380</v>
      </c>
      <c r="M971" s="21" t="s">
        <v>3353</v>
      </c>
      <c r="N971" s="161" t="s">
        <v>67</v>
      </c>
      <c r="O971" s="21" t="s">
        <v>3351</v>
      </c>
      <c r="P971" s="161" t="s">
        <v>109</v>
      </c>
      <c r="Q971" s="21" t="s">
        <v>70</v>
      </c>
      <c r="R971" s="161">
        <v>80</v>
      </c>
      <c r="S971" s="161" t="s">
        <v>3352</v>
      </c>
      <c r="T971" s="161" t="s">
        <v>141</v>
      </c>
      <c r="U971" s="161" t="s">
        <v>142</v>
      </c>
      <c r="V971" s="21" t="s">
        <v>74</v>
      </c>
      <c r="W971" s="21" t="s">
        <v>112</v>
      </c>
      <c r="X971" s="161" t="s">
        <v>787</v>
      </c>
      <c r="Y971" s="161">
        <v>5.3949999999999996E-3</v>
      </c>
      <c r="Z971" s="161">
        <v>1.3</v>
      </c>
      <c r="AA971" s="161" t="s">
        <v>144</v>
      </c>
      <c r="AB971" s="161" t="s">
        <v>114</v>
      </c>
      <c r="AC971" s="266" t="str">
        <f>HYPERLINK("https://gcsvt.ru/svetodiodnyie-svetilniki/svt-str-m-cri80-27w-60-s-zashchitoy-ot-380/","Ссылка")</f>
        <v>Ссылка</v>
      </c>
      <c r="AD971" s="167">
        <v>5529</v>
      </c>
    </row>
    <row r="972" spans="1:30" s="161" customFormat="1" ht="39.950000000000003" hidden="1" customHeight="1" outlineLevel="2" x14ac:dyDescent="0.25">
      <c r="A972" s="21"/>
      <c r="B972" s="21" t="s">
        <v>3289</v>
      </c>
      <c r="C972" s="159" t="s">
        <v>3310</v>
      </c>
      <c r="D972" s="161">
        <v>3240</v>
      </c>
      <c r="E972" s="161">
        <v>27</v>
      </c>
      <c r="F972" s="161">
        <v>120</v>
      </c>
      <c r="G972" s="161" t="s">
        <v>3340</v>
      </c>
      <c r="H972" s="161" t="s">
        <v>1617</v>
      </c>
      <c r="I972" s="161">
        <v>67</v>
      </c>
      <c r="J972" s="161" t="s">
        <v>105</v>
      </c>
      <c r="K972" s="21" t="s">
        <v>106</v>
      </c>
      <c r="L972" s="161" t="s">
        <v>3380</v>
      </c>
      <c r="M972" s="21" t="s">
        <v>3353</v>
      </c>
      <c r="N972" s="161" t="s">
        <v>67</v>
      </c>
      <c r="O972" s="21" t="s">
        <v>3351</v>
      </c>
      <c r="P972" s="161" t="s">
        <v>109</v>
      </c>
      <c r="Q972" s="21" t="s">
        <v>70</v>
      </c>
      <c r="R972" s="161">
        <v>80</v>
      </c>
      <c r="S972" s="161" t="s">
        <v>3352</v>
      </c>
      <c r="T972" s="161" t="s">
        <v>141</v>
      </c>
      <c r="U972" s="161" t="s">
        <v>142</v>
      </c>
      <c r="V972" s="21" t="s">
        <v>74</v>
      </c>
      <c r="W972" s="21" t="s">
        <v>112</v>
      </c>
      <c r="X972" s="161" t="s">
        <v>787</v>
      </c>
      <c r="Y972" s="161">
        <v>5.3949999999999996E-3</v>
      </c>
      <c r="Z972" s="161">
        <v>1.3</v>
      </c>
      <c r="AA972" s="161" t="s">
        <v>144</v>
      </c>
      <c r="AB972" s="161" t="s">
        <v>114</v>
      </c>
      <c r="AC972" s="266" t="str">
        <f>HYPERLINK("https://gcsvt.ru/svetodiodnyie-svetilniki/svt-str-m-cri80-27w-90-s-zashchitoy-ot-380/","Ссылка")</f>
        <v>Ссылка</v>
      </c>
      <c r="AD972" s="167">
        <v>5529</v>
      </c>
    </row>
    <row r="973" spans="1:30" s="161" customFormat="1" ht="39.950000000000003" hidden="1" customHeight="1" outlineLevel="2" x14ac:dyDescent="0.25">
      <c r="A973" s="21"/>
      <c r="B973" s="21" t="s">
        <v>3289</v>
      </c>
      <c r="C973" s="159" t="s">
        <v>3311</v>
      </c>
      <c r="D973" s="161">
        <v>3240</v>
      </c>
      <c r="E973" s="161">
        <v>27</v>
      </c>
      <c r="F973" s="161">
        <v>120</v>
      </c>
      <c r="G973" s="161" t="s">
        <v>3341</v>
      </c>
      <c r="H973" s="161" t="s">
        <v>192</v>
      </c>
      <c r="I973" s="161">
        <v>67</v>
      </c>
      <c r="J973" s="161" t="s">
        <v>105</v>
      </c>
      <c r="K973" s="21" t="s">
        <v>106</v>
      </c>
      <c r="L973" s="161" t="s">
        <v>3380</v>
      </c>
      <c r="M973" s="21" t="s">
        <v>3353</v>
      </c>
      <c r="N973" s="161" t="s">
        <v>67</v>
      </c>
      <c r="O973" s="21" t="s">
        <v>3351</v>
      </c>
      <c r="P973" s="161" t="s">
        <v>109</v>
      </c>
      <c r="Q973" s="21" t="s">
        <v>70</v>
      </c>
      <c r="R973" s="161">
        <v>80</v>
      </c>
      <c r="S973" s="161" t="s">
        <v>3352</v>
      </c>
      <c r="T973" s="161" t="s">
        <v>141</v>
      </c>
      <c r="U973" s="161" t="s">
        <v>142</v>
      </c>
      <c r="V973" s="21" t="s">
        <v>74</v>
      </c>
      <c r="W973" s="21" t="s">
        <v>112</v>
      </c>
      <c r="X973" s="161" t="s">
        <v>787</v>
      </c>
      <c r="Y973" s="161">
        <v>5.3949999999999996E-3</v>
      </c>
      <c r="Z973" s="161">
        <v>1.3</v>
      </c>
      <c r="AA973" s="161" t="s">
        <v>144</v>
      </c>
      <c r="AB973" s="161" t="s">
        <v>114</v>
      </c>
      <c r="AC973" s="266" t="str">
        <f>HYPERLINK("https://gcsvt.ru/svetodiodnyie-svetilniki/svt-str-m-cri80-27w-vsm-s-zashchitoy-ot-380/","Ссылка")</f>
        <v>Ссылка</v>
      </c>
      <c r="AD973" s="167">
        <v>5529</v>
      </c>
    </row>
    <row r="974" spans="1:30" s="161" customFormat="1" ht="39.950000000000003" hidden="1" customHeight="1" outlineLevel="2" x14ac:dyDescent="0.25">
      <c r="A974" s="21"/>
      <c r="B974" s="21" t="s">
        <v>3289</v>
      </c>
      <c r="C974" s="159" t="s">
        <v>3312</v>
      </c>
      <c r="D974" s="161">
        <v>3240</v>
      </c>
      <c r="E974" s="161">
        <v>27</v>
      </c>
      <c r="F974" s="161">
        <v>120</v>
      </c>
      <c r="G974" s="161" t="s">
        <v>3342</v>
      </c>
      <c r="H974" s="161" t="s">
        <v>3350</v>
      </c>
      <c r="I974" s="161">
        <v>67</v>
      </c>
      <c r="J974" s="161" t="s">
        <v>105</v>
      </c>
      <c r="K974" s="21" t="s">
        <v>106</v>
      </c>
      <c r="L974" s="161" t="s">
        <v>3380</v>
      </c>
      <c r="M974" s="21" t="s">
        <v>3353</v>
      </c>
      <c r="N974" s="161" t="s">
        <v>67</v>
      </c>
      <c r="O974" s="21" t="s">
        <v>3351</v>
      </c>
      <c r="P974" s="161" t="s">
        <v>109</v>
      </c>
      <c r="Q974" s="21" t="s">
        <v>70</v>
      </c>
      <c r="R974" s="161">
        <v>80</v>
      </c>
      <c r="S974" s="161" t="s">
        <v>3352</v>
      </c>
      <c r="T974" s="161" t="s">
        <v>141</v>
      </c>
      <c r="U974" s="161" t="s">
        <v>142</v>
      </c>
      <c r="V974" s="21" t="s">
        <v>74</v>
      </c>
      <c r="W974" s="21" t="s">
        <v>112</v>
      </c>
      <c r="X974" s="161" t="s">
        <v>787</v>
      </c>
      <c r="Y974" s="161">
        <v>5.3949999999999996E-3</v>
      </c>
      <c r="Z974" s="161">
        <v>1.3</v>
      </c>
      <c r="AA974" s="161" t="s">
        <v>144</v>
      </c>
      <c r="AB974" s="161" t="s">
        <v>114</v>
      </c>
      <c r="AC974" s="266" t="str">
        <f>HYPERLINK("https://gcsvt.ru/svetodiodnyie-svetilniki/svt-str-m-cri80-27w-157x90-s-zashchitoy-ot-380/","Ссылка")</f>
        <v>Ссылка</v>
      </c>
      <c r="AD974" s="167">
        <v>5529</v>
      </c>
    </row>
    <row r="975" spans="1:30" s="161" customFormat="1" ht="39.950000000000003" hidden="1" customHeight="1" outlineLevel="2" x14ac:dyDescent="0.25">
      <c r="A975" s="21"/>
      <c r="B975" s="21" t="s">
        <v>3289</v>
      </c>
      <c r="C975" s="159" t="s">
        <v>3313</v>
      </c>
      <c r="D975" s="161">
        <v>3240</v>
      </c>
      <c r="E975" s="161">
        <v>27</v>
      </c>
      <c r="F975" s="161">
        <v>120</v>
      </c>
      <c r="G975" s="161" t="s">
        <v>3343</v>
      </c>
      <c r="H975" s="161" t="s">
        <v>3350</v>
      </c>
      <c r="I975" s="161">
        <v>67</v>
      </c>
      <c r="J975" s="161" t="s">
        <v>105</v>
      </c>
      <c r="K975" s="21" t="s">
        <v>106</v>
      </c>
      <c r="L975" s="161" t="s">
        <v>3380</v>
      </c>
      <c r="M975" s="21" t="s">
        <v>3353</v>
      </c>
      <c r="N975" s="161" t="s">
        <v>67</v>
      </c>
      <c r="O975" s="21" t="s">
        <v>3351</v>
      </c>
      <c r="P975" s="161" t="s">
        <v>109</v>
      </c>
      <c r="Q975" s="21" t="s">
        <v>70</v>
      </c>
      <c r="R975" s="161">
        <v>80</v>
      </c>
      <c r="S975" s="161" t="s">
        <v>3352</v>
      </c>
      <c r="T975" s="161" t="s">
        <v>141</v>
      </c>
      <c r="U975" s="161" t="s">
        <v>142</v>
      </c>
      <c r="V975" s="21" t="s">
        <v>74</v>
      </c>
      <c r="W975" s="21" t="s">
        <v>160</v>
      </c>
      <c r="X975" s="161" t="s">
        <v>787</v>
      </c>
      <c r="Y975" s="161">
        <v>5.3949999999999996E-3</v>
      </c>
      <c r="Z975" s="161">
        <v>1.3</v>
      </c>
      <c r="AA975" s="161" t="s">
        <v>144</v>
      </c>
      <c r="AB975" s="161" t="s">
        <v>114</v>
      </c>
      <c r="AC975" s="266" t="str">
        <f>HYPERLINK("https://gcsvt.ru/svetodiodnyie-svetilniki/svt-str-m-cri80-27w-157x90-c-s-zashchitoy-ot-380/","Ссылка")</f>
        <v>Ссылка</v>
      </c>
      <c r="AD975" s="167">
        <v>5529</v>
      </c>
    </row>
    <row r="976" spans="1:30" s="161" customFormat="1" ht="39.950000000000003" hidden="1" customHeight="1" outlineLevel="2" x14ac:dyDescent="0.25">
      <c r="A976" s="21"/>
      <c r="B976" s="21" t="s">
        <v>3289</v>
      </c>
      <c r="C976" s="159" t="s">
        <v>3314</v>
      </c>
      <c r="D976" s="161">
        <v>6490</v>
      </c>
      <c r="E976" s="161">
        <v>55</v>
      </c>
      <c r="F976" s="161">
        <v>118</v>
      </c>
      <c r="G976" s="161" t="s">
        <v>3344</v>
      </c>
      <c r="H976" s="161" t="s">
        <v>81</v>
      </c>
      <c r="I976" s="161">
        <v>67</v>
      </c>
      <c r="J976" s="161" t="s">
        <v>105</v>
      </c>
      <c r="K976" s="21" t="s">
        <v>106</v>
      </c>
      <c r="L976" s="161" t="s">
        <v>3380</v>
      </c>
      <c r="M976" s="21" t="s">
        <v>3353</v>
      </c>
      <c r="N976" s="161" t="s">
        <v>67</v>
      </c>
      <c r="O976" s="21" t="s">
        <v>3351</v>
      </c>
      <c r="P976" s="161" t="s">
        <v>109</v>
      </c>
      <c r="Q976" s="21" t="s">
        <v>70</v>
      </c>
      <c r="R976" s="161">
        <v>80</v>
      </c>
      <c r="S976" s="161" t="s">
        <v>3354</v>
      </c>
      <c r="T976" s="161" t="s">
        <v>141</v>
      </c>
      <c r="U976" s="161" t="s">
        <v>142</v>
      </c>
      <c r="V976" s="21" t="s">
        <v>74</v>
      </c>
      <c r="W976" s="21" t="s">
        <v>112</v>
      </c>
      <c r="X976" s="161" t="s">
        <v>820</v>
      </c>
      <c r="Y976" s="161">
        <v>1.1440000000000001E-2</v>
      </c>
      <c r="Z976" s="161">
        <v>1.8</v>
      </c>
      <c r="AA976" s="161" t="s">
        <v>144</v>
      </c>
      <c r="AB976" s="161" t="s">
        <v>114</v>
      </c>
      <c r="AC976" s="266" t="str">
        <f>HYPERLINK("https://gcsvt.ru/svetodiodnyie-svetilniki/svt-str-m-cri80-55w-30-s-zashchitoy-ot-380/","Ссылка")</f>
        <v>Ссылка</v>
      </c>
      <c r="AD976" s="167">
        <v>7242</v>
      </c>
    </row>
    <row r="977" spans="1:30" s="161" customFormat="1" ht="39.950000000000003" hidden="1" customHeight="1" outlineLevel="2" x14ac:dyDescent="0.25">
      <c r="A977" s="21"/>
      <c r="B977" s="21" t="s">
        <v>3289</v>
      </c>
      <c r="C977" s="159" t="s">
        <v>3315</v>
      </c>
      <c r="D977" s="161">
        <v>6490</v>
      </c>
      <c r="E977" s="161">
        <v>55</v>
      </c>
      <c r="F977" s="161">
        <v>118</v>
      </c>
      <c r="G977" s="161" t="s">
        <v>3345</v>
      </c>
      <c r="H977" s="161" t="s">
        <v>84</v>
      </c>
      <c r="I977" s="161">
        <v>67</v>
      </c>
      <c r="J977" s="161" t="s">
        <v>105</v>
      </c>
      <c r="K977" s="21" t="s">
        <v>106</v>
      </c>
      <c r="L977" s="161" t="s">
        <v>3380</v>
      </c>
      <c r="M977" s="21" t="s">
        <v>3353</v>
      </c>
      <c r="N977" s="161" t="s">
        <v>67</v>
      </c>
      <c r="O977" s="21" t="s">
        <v>3351</v>
      </c>
      <c r="P977" s="161" t="s">
        <v>109</v>
      </c>
      <c r="Q977" s="21" t="s">
        <v>70</v>
      </c>
      <c r="R977" s="161">
        <v>80</v>
      </c>
      <c r="S977" s="161" t="s">
        <v>3354</v>
      </c>
      <c r="T977" s="161" t="s">
        <v>141</v>
      </c>
      <c r="U977" s="161" t="s">
        <v>142</v>
      </c>
      <c r="V977" s="21" t="s">
        <v>74</v>
      </c>
      <c r="W977" s="21" t="s">
        <v>112</v>
      </c>
      <c r="X977" s="161" t="s">
        <v>820</v>
      </c>
      <c r="Y977" s="161">
        <v>1.1440000000000001E-2</v>
      </c>
      <c r="Z977" s="161">
        <v>1.8</v>
      </c>
      <c r="AA977" s="161" t="s">
        <v>144</v>
      </c>
      <c r="AB977" s="161" t="s">
        <v>114</v>
      </c>
      <c r="AC977" s="266" t="str">
        <f>HYPERLINK("https://gcsvt.ru/svetodiodnyie-svetilniki/svt-str-m-cri80-55w-60-s-zashchitoy-ot-380/","Ссылка")</f>
        <v>Ссылка</v>
      </c>
      <c r="AD977" s="167">
        <v>7242</v>
      </c>
    </row>
    <row r="978" spans="1:30" s="161" customFormat="1" ht="39.950000000000003" hidden="1" customHeight="1" outlineLevel="2" x14ac:dyDescent="0.25">
      <c r="A978" s="21"/>
      <c r="B978" s="21" t="s">
        <v>3289</v>
      </c>
      <c r="C978" s="159" t="s">
        <v>3316</v>
      </c>
      <c r="D978" s="161">
        <v>6490</v>
      </c>
      <c r="E978" s="161">
        <v>55</v>
      </c>
      <c r="F978" s="161">
        <v>118</v>
      </c>
      <c r="G978" s="161" t="s">
        <v>3346</v>
      </c>
      <c r="H978" s="161" t="s">
        <v>1617</v>
      </c>
      <c r="I978" s="161">
        <v>67</v>
      </c>
      <c r="J978" s="161" t="s">
        <v>105</v>
      </c>
      <c r="K978" s="21" t="s">
        <v>106</v>
      </c>
      <c r="L978" s="161" t="s">
        <v>3380</v>
      </c>
      <c r="M978" s="21" t="s">
        <v>3353</v>
      </c>
      <c r="N978" s="161" t="s">
        <v>67</v>
      </c>
      <c r="O978" s="21" t="s">
        <v>3351</v>
      </c>
      <c r="P978" s="161" t="s">
        <v>109</v>
      </c>
      <c r="Q978" s="21" t="s">
        <v>70</v>
      </c>
      <c r="R978" s="161">
        <v>80</v>
      </c>
      <c r="S978" s="161" t="s">
        <v>3354</v>
      </c>
      <c r="T978" s="161" t="s">
        <v>141</v>
      </c>
      <c r="U978" s="161" t="s">
        <v>142</v>
      </c>
      <c r="V978" s="21" t="s">
        <v>74</v>
      </c>
      <c r="W978" s="21" t="s">
        <v>112</v>
      </c>
      <c r="X978" s="161" t="s">
        <v>820</v>
      </c>
      <c r="Y978" s="161">
        <v>1.1440000000000001E-2</v>
      </c>
      <c r="Z978" s="161">
        <v>1.8</v>
      </c>
      <c r="AA978" s="161" t="s">
        <v>144</v>
      </c>
      <c r="AB978" s="161" t="s">
        <v>114</v>
      </c>
      <c r="AC978" s="266" t="str">
        <f>HYPERLINK("https://gcsvt.ru/svetodiodnyie-svetilniki/svt-str-m-cri80-55w-90-s-zashchitoy-ot-380/","Ссылка")</f>
        <v>Ссылка</v>
      </c>
      <c r="AD978" s="167">
        <v>7242</v>
      </c>
    </row>
    <row r="979" spans="1:30" s="161" customFormat="1" ht="39.950000000000003" hidden="1" customHeight="1" outlineLevel="2" x14ac:dyDescent="0.25">
      <c r="A979" s="21"/>
      <c r="B979" s="21" t="s">
        <v>3289</v>
      </c>
      <c r="C979" s="159" t="s">
        <v>3317</v>
      </c>
      <c r="D979" s="161">
        <v>6490</v>
      </c>
      <c r="E979" s="161">
        <v>55</v>
      </c>
      <c r="F979" s="161">
        <v>118</v>
      </c>
      <c r="G979" s="161" t="s">
        <v>3347</v>
      </c>
      <c r="H979" s="161" t="s">
        <v>192</v>
      </c>
      <c r="I979" s="161">
        <v>67</v>
      </c>
      <c r="J979" s="161" t="s">
        <v>105</v>
      </c>
      <c r="K979" s="21" t="s">
        <v>106</v>
      </c>
      <c r="L979" s="161" t="s">
        <v>3380</v>
      </c>
      <c r="M979" s="21" t="s">
        <v>3353</v>
      </c>
      <c r="N979" s="161" t="s">
        <v>67</v>
      </c>
      <c r="O979" s="21" t="s">
        <v>3351</v>
      </c>
      <c r="P979" s="161" t="s">
        <v>109</v>
      </c>
      <c r="Q979" s="21" t="s">
        <v>70</v>
      </c>
      <c r="R979" s="161">
        <v>80</v>
      </c>
      <c r="S979" s="161" t="s">
        <v>3354</v>
      </c>
      <c r="T979" s="161" t="s">
        <v>141</v>
      </c>
      <c r="U979" s="161" t="s">
        <v>142</v>
      </c>
      <c r="V979" s="21" t="s">
        <v>74</v>
      </c>
      <c r="W979" s="21" t="s">
        <v>112</v>
      </c>
      <c r="X979" s="161" t="s">
        <v>820</v>
      </c>
      <c r="Y979" s="161">
        <v>1.1440000000000001E-2</v>
      </c>
      <c r="Z979" s="161">
        <v>1.8</v>
      </c>
      <c r="AA979" s="161" t="s">
        <v>144</v>
      </c>
      <c r="AB979" s="161" t="s">
        <v>114</v>
      </c>
      <c r="AC979" s="266" t="str">
        <f>HYPERLINK("https://gcsvt.ru/svetodiodnyie-svetilniki/svt-str-m-cri80-55w-vsm-s-zashchitoy-ot-380/","Ссылка")</f>
        <v>Ссылка</v>
      </c>
      <c r="AD979" s="167">
        <v>7242</v>
      </c>
    </row>
    <row r="980" spans="1:30" s="161" customFormat="1" ht="39.950000000000003" hidden="1" customHeight="1" outlineLevel="2" x14ac:dyDescent="0.25">
      <c r="A980" s="21"/>
      <c r="B980" s="21" t="s">
        <v>3289</v>
      </c>
      <c r="C980" s="159" t="s">
        <v>3318</v>
      </c>
      <c r="D980" s="161">
        <v>6490</v>
      </c>
      <c r="E980" s="161">
        <v>55</v>
      </c>
      <c r="F980" s="161">
        <v>118</v>
      </c>
      <c r="G980" s="161" t="s">
        <v>3348</v>
      </c>
      <c r="H980" s="161" t="s">
        <v>3350</v>
      </c>
      <c r="I980" s="161">
        <v>67</v>
      </c>
      <c r="J980" s="161" t="s">
        <v>105</v>
      </c>
      <c r="K980" s="21" t="s">
        <v>106</v>
      </c>
      <c r="L980" s="161" t="s">
        <v>3380</v>
      </c>
      <c r="M980" s="21" t="s">
        <v>3353</v>
      </c>
      <c r="N980" s="161" t="s">
        <v>67</v>
      </c>
      <c r="O980" s="21" t="s">
        <v>3351</v>
      </c>
      <c r="P980" s="161" t="s">
        <v>109</v>
      </c>
      <c r="Q980" s="21" t="s">
        <v>70</v>
      </c>
      <c r="R980" s="161">
        <v>80</v>
      </c>
      <c r="S980" s="161" t="s">
        <v>3354</v>
      </c>
      <c r="T980" s="161" t="s">
        <v>141</v>
      </c>
      <c r="U980" s="161" t="s">
        <v>142</v>
      </c>
      <c r="V980" s="21" t="s">
        <v>74</v>
      </c>
      <c r="W980" s="21" t="s">
        <v>112</v>
      </c>
      <c r="X980" s="161" t="s">
        <v>820</v>
      </c>
      <c r="Y980" s="161">
        <v>1.1440000000000001E-2</v>
      </c>
      <c r="Z980" s="161">
        <v>1.8</v>
      </c>
      <c r="AA980" s="161" t="s">
        <v>144</v>
      </c>
      <c r="AB980" s="161" t="s">
        <v>114</v>
      </c>
      <c r="AC980" s="266" t="str">
        <f>HYPERLINK("https://gcsvt.ru/svetodiodnyie-svetilniki/svt-str-m-cri80-55w-157x90-s-zashchitoy-ot-380/","Ссылка")</f>
        <v>Ссылка</v>
      </c>
      <c r="AD980" s="167">
        <v>7242</v>
      </c>
    </row>
    <row r="981" spans="1:30" s="161" customFormat="1" ht="39.950000000000003" hidden="1" customHeight="1" outlineLevel="2" x14ac:dyDescent="0.25">
      <c r="A981" s="21"/>
      <c r="B981" s="21" t="s">
        <v>3289</v>
      </c>
      <c r="C981" s="159" t="s">
        <v>3319</v>
      </c>
      <c r="D981" s="161">
        <v>6490</v>
      </c>
      <c r="E981" s="161">
        <v>55</v>
      </c>
      <c r="F981" s="161">
        <v>118</v>
      </c>
      <c r="G981" s="161" t="s">
        <v>3349</v>
      </c>
      <c r="H981" s="161" t="s">
        <v>3350</v>
      </c>
      <c r="I981" s="161">
        <v>67</v>
      </c>
      <c r="J981" s="161" t="s">
        <v>105</v>
      </c>
      <c r="K981" s="21" t="s">
        <v>106</v>
      </c>
      <c r="L981" s="161" t="s">
        <v>3380</v>
      </c>
      <c r="M981" s="21" t="s">
        <v>3353</v>
      </c>
      <c r="N981" s="161" t="s">
        <v>67</v>
      </c>
      <c r="O981" s="21" t="s">
        <v>3351</v>
      </c>
      <c r="P981" s="161" t="s">
        <v>109</v>
      </c>
      <c r="Q981" s="21" t="s">
        <v>70</v>
      </c>
      <c r="R981" s="161">
        <v>80</v>
      </c>
      <c r="S981" s="161" t="s">
        <v>3354</v>
      </c>
      <c r="T981" s="161" t="s">
        <v>141</v>
      </c>
      <c r="U981" s="161" t="s">
        <v>142</v>
      </c>
      <c r="V981" s="21" t="s">
        <v>74</v>
      </c>
      <c r="W981" s="21" t="s">
        <v>160</v>
      </c>
      <c r="X981" s="161" t="s">
        <v>820</v>
      </c>
      <c r="Y981" s="161">
        <v>1.1440000000000001E-2</v>
      </c>
      <c r="Z981" s="161">
        <v>1.8</v>
      </c>
      <c r="AA981" s="161" t="s">
        <v>144</v>
      </c>
      <c r="AB981" s="161" t="s">
        <v>114</v>
      </c>
      <c r="AC981" s="266" t="str">
        <f>HYPERLINK("https://gcsvt.ru/svetodiodnyie-svetilniki/svt-str-m-cri80-55w-157x90-c-s-zashchitoy-ot-380/","Ссылка")</f>
        <v>Ссылка</v>
      </c>
      <c r="AD981" s="167">
        <v>7242</v>
      </c>
    </row>
    <row r="982" spans="1:30" s="161" customFormat="1" ht="39.950000000000003" hidden="1" customHeight="1" outlineLevel="2" x14ac:dyDescent="0.25">
      <c r="A982" s="21"/>
      <c r="B982" s="47" t="s">
        <v>3356</v>
      </c>
      <c r="C982" s="159"/>
      <c r="K982" s="21"/>
      <c r="M982" s="21"/>
      <c r="O982" s="21"/>
      <c r="Q982" s="21"/>
      <c r="V982" s="21"/>
      <c r="W982" s="21"/>
      <c r="AC982" s="228"/>
      <c r="AD982" s="167"/>
    </row>
    <row r="983" spans="1:30" s="161" customFormat="1" ht="39.950000000000003" hidden="1" customHeight="1" outlineLevel="1" collapsed="1" x14ac:dyDescent="0.25">
      <c r="A983" s="5"/>
      <c r="B983" s="196" t="s">
        <v>4328</v>
      </c>
      <c r="C983" s="80"/>
      <c r="D983" s="12"/>
      <c r="E983" s="12"/>
      <c r="F983" s="12"/>
      <c r="G983" s="12"/>
      <c r="H983" s="12"/>
      <c r="I983" s="12"/>
      <c r="J983" s="12"/>
      <c r="K983" s="14"/>
      <c r="L983" s="85"/>
      <c r="M983" s="85"/>
      <c r="N983" s="85"/>
      <c r="O983" s="85"/>
      <c r="P983" s="85"/>
      <c r="Q983" s="85"/>
      <c r="R983" s="85"/>
      <c r="S983" s="85"/>
      <c r="T983" s="85"/>
      <c r="U983" s="85"/>
      <c r="V983" s="85"/>
      <c r="W983" s="15"/>
      <c r="X983" s="1"/>
      <c r="Y983" s="1"/>
      <c r="Z983" s="1"/>
      <c r="AA983" s="1"/>
      <c r="AB983" s="1"/>
      <c r="AC983" s="1"/>
      <c r="AD983" s="1"/>
    </row>
    <row r="984" spans="1:30" s="161" customFormat="1" ht="39.950000000000003" hidden="1" customHeight="1" outlineLevel="2" x14ac:dyDescent="0.25">
      <c r="A984" s="5"/>
      <c r="B984" s="1" t="s">
        <v>4328</v>
      </c>
      <c r="C984" s="80" t="s">
        <v>4329</v>
      </c>
      <c r="D984" s="12">
        <v>4840</v>
      </c>
      <c r="E984" s="12">
        <v>32</v>
      </c>
      <c r="F984" s="12">
        <v>151</v>
      </c>
      <c r="G984" s="12" t="s">
        <v>4330</v>
      </c>
      <c r="H984" s="12" t="s">
        <v>138</v>
      </c>
      <c r="I984" s="12">
        <v>67</v>
      </c>
      <c r="J984" s="12" t="s">
        <v>105</v>
      </c>
      <c r="K984" s="1" t="s">
        <v>106</v>
      </c>
      <c r="L984" s="12" t="s">
        <v>3380</v>
      </c>
      <c r="M984" s="1" t="s">
        <v>157</v>
      </c>
      <c r="N984" s="12" t="s">
        <v>67</v>
      </c>
      <c r="O984" s="1" t="s">
        <v>139</v>
      </c>
      <c r="P984" s="12" t="s">
        <v>109</v>
      </c>
      <c r="Q984" s="1" t="s">
        <v>70</v>
      </c>
      <c r="R984" s="12">
        <v>80</v>
      </c>
      <c r="S984" s="12" t="s">
        <v>140</v>
      </c>
      <c r="T984" s="12" t="s">
        <v>141</v>
      </c>
      <c r="U984" s="12" t="s">
        <v>73</v>
      </c>
      <c r="V984" s="1" t="s">
        <v>74</v>
      </c>
      <c r="W984" s="1" t="s">
        <v>4331</v>
      </c>
      <c r="X984" s="12" t="s">
        <v>4332</v>
      </c>
      <c r="Y984" s="12">
        <v>0.1</v>
      </c>
      <c r="Z984" s="12">
        <v>1.5</v>
      </c>
      <c r="AA984" s="12" t="s">
        <v>77</v>
      </c>
      <c r="AB984" s="12" t="s">
        <v>114</v>
      </c>
      <c r="AC984" s="14" t="str">
        <f>HYPERLINK("https://gcsvt.ru/svetodiodnyie-svetilniki/svt-str-m-32w-go/","Ссылка")</f>
        <v>Ссылка</v>
      </c>
      <c r="AD984" s="85" t="s">
        <v>2859</v>
      </c>
    </row>
    <row r="985" spans="1:30" s="161" customFormat="1" ht="39.950000000000003" hidden="1" customHeight="1" outlineLevel="2" x14ac:dyDescent="0.25">
      <c r="A985" s="5"/>
      <c r="B985" s="1" t="s">
        <v>4328</v>
      </c>
      <c r="C985" s="80" t="s">
        <v>4333</v>
      </c>
      <c r="D985" s="12">
        <v>7630</v>
      </c>
      <c r="E985" s="12">
        <v>48</v>
      </c>
      <c r="F985" s="12">
        <v>158</v>
      </c>
      <c r="G985" s="12" t="s">
        <v>4334</v>
      </c>
      <c r="H985" s="12" t="s">
        <v>138</v>
      </c>
      <c r="I985" s="12">
        <v>67</v>
      </c>
      <c r="J985" s="12" t="s">
        <v>105</v>
      </c>
      <c r="K985" s="1" t="s">
        <v>106</v>
      </c>
      <c r="L985" s="12" t="s">
        <v>3380</v>
      </c>
      <c r="M985" s="1" t="s">
        <v>157</v>
      </c>
      <c r="N985" s="12" t="s">
        <v>67</v>
      </c>
      <c r="O985" s="1" t="s">
        <v>139</v>
      </c>
      <c r="P985" s="12" t="s">
        <v>109</v>
      </c>
      <c r="Q985" s="1" t="s">
        <v>70</v>
      </c>
      <c r="R985" s="12">
        <v>80</v>
      </c>
      <c r="S985" s="12" t="s">
        <v>147</v>
      </c>
      <c r="T985" s="12" t="s">
        <v>141</v>
      </c>
      <c r="U985" s="12" t="s">
        <v>73</v>
      </c>
      <c r="V985" s="1" t="s">
        <v>74</v>
      </c>
      <c r="W985" s="1" t="s">
        <v>4331</v>
      </c>
      <c r="X985" s="12" t="s">
        <v>4332</v>
      </c>
      <c r="Y985" s="12">
        <v>0.1</v>
      </c>
      <c r="Z985" s="12">
        <v>1.7</v>
      </c>
      <c r="AA985" s="12" t="s">
        <v>77</v>
      </c>
      <c r="AB985" s="12" t="s">
        <v>114</v>
      </c>
      <c r="AC985" s="14" t="str">
        <f>HYPERLINK("https://gcsvt.ru/svetodiodnyie-svetilniki/svt-str-m-48w-go/","Ссылка")</f>
        <v>Ссылка</v>
      </c>
      <c r="AD985" s="85" t="s">
        <v>2859</v>
      </c>
    </row>
    <row r="986" spans="1:30" s="161" customFormat="1" ht="39.950000000000003" hidden="1" customHeight="1" outlineLevel="2" x14ac:dyDescent="0.25">
      <c r="A986" s="5"/>
      <c r="B986" s="1" t="s">
        <v>4328</v>
      </c>
      <c r="C986" s="80" t="s">
        <v>4335</v>
      </c>
      <c r="D986" s="12">
        <v>9680</v>
      </c>
      <c r="E986" s="12">
        <v>64</v>
      </c>
      <c r="F986" s="12">
        <v>151</v>
      </c>
      <c r="G986" s="12" t="s">
        <v>4336</v>
      </c>
      <c r="H986" s="12" t="s">
        <v>138</v>
      </c>
      <c r="I986" s="12">
        <v>67</v>
      </c>
      <c r="J986" s="12" t="s">
        <v>105</v>
      </c>
      <c r="K986" s="1" t="s">
        <v>106</v>
      </c>
      <c r="L986" s="12" t="s">
        <v>3380</v>
      </c>
      <c r="M986" s="1" t="s">
        <v>157</v>
      </c>
      <c r="N986" s="12" t="s">
        <v>67</v>
      </c>
      <c r="O986" s="1" t="s">
        <v>139</v>
      </c>
      <c r="P986" s="12" t="s">
        <v>109</v>
      </c>
      <c r="Q986" s="1" t="s">
        <v>70</v>
      </c>
      <c r="R986" s="12">
        <v>80</v>
      </c>
      <c r="S986" s="12" t="s">
        <v>151</v>
      </c>
      <c r="T986" s="12" t="s">
        <v>141</v>
      </c>
      <c r="U986" s="12" t="s">
        <v>73</v>
      </c>
      <c r="V986" s="1" t="s">
        <v>74</v>
      </c>
      <c r="W986" s="1" t="s">
        <v>4331</v>
      </c>
      <c r="X986" s="12" t="s">
        <v>4332</v>
      </c>
      <c r="Y986" s="12">
        <v>0.1</v>
      </c>
      <c r="Z986" s="12">
        <v>2.5</v>
      </c>
      <c r="AA986" s="12" t="s">
        <v>77</v>
      </c>
      <c r="AB986" s="12" t="s">
        <v>114</v>
      </c>
      <c r="AC986" s="14" t="str">
        <f>HYPERLINK("https://gcsvt.ru/svetodiodnyie-svetilniki/svt-str-m-32w-go-duo/","Ссылка")</f>
        <v>Ссылка</v>
      </c>
      <c r="AD986" s="85" t="s">
        <v>2859</v>
      </c>
    </row>
    <row r="987" spans="1:30" s="161" customFormat="1" ht="39.950000000000003" hidden="1" customHeight="1" outlineLevel="2" x14ac:dyDescent="0.25">
      <c r="A987" s="5"/>
      <c r="B987" s="1" t="s">
        <v>4328</v>
      </c>
      <c r="C987" s="80" t="s">
        <v>4337</v>
      </c>
      <c r="D987" s="12">
        <v>15260</v>
      </c>
      <c r="E987" s="12">
        <v>96</v>
      </c>
      <c r="F987" s="12">
        <v>158</v>
      </c>
      <c r="G987" s="12" t="s">
        <v>4338</v>
      </c>
      <c r="H987" s="12" t="s">
        <v>138</v>
      </c>
      <c r="I987" s="12">
        <v>67</v>
      </c>
      <c r="J987" s="12" t="s">
        <v>105</v>
      </c>
      <c r="K987" s="1" t="s">
        <v>106</v>
      </c>
      <c r="L987" s="12" t="s">
        <v>3380</v>
      </c>
      <c r="M987" s="1" t="s">
        <v>157</v>
      </c>
      <c r="N987" s="12" t="s">
        <v>67</v>
      </c>
      <c r="O987" s="1" t="s">
        <v>139</v>
      </c>
      <c r="P987" s="12" t="s">
        <v>109</v>
      </c>
      <c r="Q987" s="1" t="s">
        <v>70</v>
      </c>
      <c r="R987" s="12">
        <v>80</v>
      </c>
      <c r="S987" s="12" t="s">
        <v>155</v>
      </c>
      <c r="T987" s="12" t="s">
        <v>141</v>
      </c>
      <c r="U987" s="12" t="s">
        <v>73</v>
      </c>
      <c r="V987" s="1" t="s">
        <v>74</v>
      </c>
      <c r="W987" s="1" t="s">
        <v>4331</v>
      </c>
      <c r="X987" s="12" t="s">
        <v>4332</v>
      </c>
      <c r="Y987" s="12">
        <v>0.1</v>
      </c>
      <c r="Z987" s="12">
        <v>2.9</v>
      </c>
      <c r="AA987" s="12" t="s">
        <v>77</v>
      </c>
      <c r="AB987" s="12" t="s">
        <v>114</v>
      </c>
      <c r="AC987" s="14" t="str">
        <f>HYPERLINK("https://gcsvt.ru/svetodiodnyie-svetilniki/svt-str-m-48w-go-duo/","Ссылка")</f>
        <v>Ссылка</v>
      </c>
      <c r="AD987" s="85" t="s">
        <v>2859</v>
      </c>
    </row>
    <row r="988" spans="1:30" s="161" customFormat="1" ht="39.950000000000003" customHeight="1" collapsed="1" x14ac:dyDescent="0.25">
      <c r="A988" s="180"/>
      <c r="B988" s="197" t="s">
        <v>3997</v>
      </c>
      <c r="C988" s="202"/>
      <c r="D988" s="163"/>
      <c r="E988" s="163"/>
      <c r="F988" s="163"/>
      <c r="G988" s="163"/>
      <c r="H988" s="163"/>
      <c r="I988" s="163"/>
      <c r="J988" s="163"/>
      <c r="K988" s="75"/>
      <c r="L988" s="163"/>
      <c r="M988" s="75"/>
      <c r="N988" s="163"/>
      <c r="O988" s="75"/>
      <c r="P988" s="163"/>
      <c r="Q988" s="75"/>
      <c r="R988" s="163"/>
      <c r="S988" s="163"/>
      <c r="T988" s="163"/>
      <c r="U988" s="163"/>
      <c r="V988" s="75"/>
      <c r="W988" s="75"/>
      <c r="X988" s="163"/>
      <c r="Y988" s="163"/>
      <c r="Z988" s="163"/>
      <c r="AA988" s="163"/>
      <c r="AB988" s="163"/>
      <c r="AC988" s="225"/>
      <c r="AD988" s="164"/>
    </row>
    <row r="989" spans="1:30" s="161" customFormat="1" ht="39.950000000000003" hidden="1" customHeight="1" outlineLevel="1" x14ac:dyDescent="0.25">
      <c r="A989" s="150"/>
      <c r="B989" s="21" t="s">
        <v>60</v>
      </c>
      <c r="C989" s="159" t="s">
        <v>61</v>
      </c>
      <c r="D989" s="161">
        <v>20400</v>
      </c>
      <c r="E989" s="161">
        <v>120</v>
      </c>
      <c r="F989" s="161">
        <v>170</v>
      </c>
      <c r="G989" s="161" t="s">
        <v>62</v>
      </c>
      <c r="H989" s="161" t="s">
        <v>63</v>
      </c>
      <c r="I989" s="161">
        <v>67</v>
      </c>
      <c r="J989" s="161" t="s">
        <v>64</v>
      </c>
      <c r="K989" s="21" t="s">
        <v>65</v>
      </c>
      <c r="L989" s="161" t="s">
        <v>3380</v>
      </c>
      <c r="M989" s="21" t="s">
        <v>66</v>
      </c>
      <c r="N989" s="161" t="s">
        <v>67</v>
      </c>
      <c r="O989" s="21" t="s">
        <v>68</v>
      </c>
      <c r="P989" s="161" t="s">
        <v>69</v>
      </c>
      <c r="Q989" s="21" t="s">
        <v>70</v>
      </c>
      <c r="R989" s="161">
        <v>70</v>
      </c>
      <c r="S989" s="161" t="s">
        <v>71</v>
      </c>
      <c r="T989" s="161" t="s">
        <v>72</v>
      </c>
      <c r="U989" s="161" t="s">
        <v>73</v>
      </c>
      <c r="V989" s="21" t="s">
        <v>74</v>
      </c>
      <c r="W989" s="21" t="s">
        <v>75</v>
      </c>
      <c r="X989" s="161" t="s">
        <v>76</v>
      </c>
      <c r="Y989" s="161">
        <v>0.02</v>
      </c>
      <c r="Z989" s="161">
        <v>10</v>
      </c>
      <c r="AA989" s="161" t="s">
        <v>77</v>
      </c>
      <c r="AB989" s="161" t="s">
        <v>78</v>
      </c>
      <c r="AC989" s="266" t="str">
        <f>HYPERLINK("https://gcsvt.ru/svetodiodnyie-svetilniki/svt-str-bolid-120w-45x140/","Ссылка")</f>
        <v>Ссылка</v>
      </c>
      <c r="AD989" s="167">
        <v>41752</v>
      </c>
    </row>
    <row r="990" spans="1:30" s="161" customFormat="1" ht="39.950000000000003" hidden="1" customHeight="1" outlineLevel="1" x14ac:dyDescent="0.25">
      <c r="A990" s="150"/>
      <c r="B990" s="21" t="s">
        <v>60</v>
      </c>
      <c r="C990" s="159" t="s">
        <v>79</v>
      </c>
      <c r="D990" s="161">
        <v>20400</v>
      </c>
      <c r="E990" s="161">
        <v>120</v>
      </c>
      <c r="F990" s="161">
        <v>170</v>
      </c>
      <c r="G990" s="161" t="s">
        <v>80</v>
      </c>
      <c r="H990" s="161" t="s">
        <v>81</v>
      </c>
      <c r="I990" s="161">
        <v>67</v>
      </c>
      <c r="J990" s="161" t="s">
        <v>64</v>
      </c>
      <c r="K990" s="21" t="s">
        <v>65</v>
      </c>
      <c r="L990" s="161" t="s">
        <v>3380</v>
      </c>
      <c r="M990" s="21" t="s">
        <v>66</v>
      </c>
      <c r="N990" s="161" t="s">
        <v>67</v>
      </c>
      <c r="O990" s="21" t="s">
        <v>68</v>
      </c>
      <c r="P990" s="161" t="s">
        <v>69</v>
      </c>
      <c r="Q990" s="21" t="s">
        <v>70</v>
      </c>
      <c r="R990" s="161">
        <v>70</v>
      </c>
      <c r="S990" s="161" t="s">
        <v>71</v>
      </c>
      <c r="T990" s="161" t="s">
        <v>72</v>
      </c>
      <c r="U990" s="161" t="s">
        <v>73</v>
      </c>
      <c r="V990" s="21" t="s">
        <v>74</v>
      </c>
      <c r="W990" s="21" t="s">
        <v>75</v>
      </c>
      <c r="X990" s="161" t="s">
        <v>76</v>
      </c>
      <c r="Y990" s="161">
        <v>0.02</v>
      </c>
      <c r="Z990" s="161">
        <v>10</v>
      </c>
      <c r="AA990" s="161" t="s">
        <v>77</v>
      </c>
      <c r="AB990" s="161" t="s">
        <v>78</v>
      </c>
      <c r="AC990" s="266" t="str">
        <f>HYPERLINK("https://gcsvt.ru/svetodiodnyie-svetilniki/svt-str-bolid-120w-30/","Ссылка")</f>
        <v>Ссылка</v>
      </c>
      <c r="AD990" s="167">
        <v>41752</v>
      </c>
    </row>
    <row r="991" spans="1:30" s="161" customFormat="1" ht="39.950000000000003" hidden="1" customHeight="1" outlineLevel="1" x14ac:dyDescent="0.25">
      <c r="A991" s="150"/>
      <c r="B991" s="21" t="s">
        <v>60</v>
      </c>
      <c r="C991" s="159" t="s">
        <v>82</v>
      </c>
      <c r="D991" s="161">
        <v>20400</v>
      </c>
      <c r="E991" s="161">
        <v>120</v>
      </c>
      <c r="F991" s="161">
        <v>170</v>
      </c>
      <c r="G991" s="161" t="s">
        <v>83</v>
      </c>
      <c r="H991" s="161" t="s">
        <v>84</v>
      </c>
      <c r="I991" s="161">
        <v>67</v>
      </c>
      <c r="J991" s="161" t="s">
        <v>64</v>
      </c>
      <c r="K991" s="21" t="s">
        <v>65</v>
      </c>
      <c r="L991" s="161" t="s">
        <v>3380</v>
      </c>
      <c r="M991" s="21" t="s">
        <v>66</v>
      </c>
      <c r="N991" s="161" t="s">
        <v>67</v>
      </c>
      <c r="O991" s="21" t="s">
        <v>68</v>
      </c>
      <c r="P991" s="161" t="s">
        <v>69</v>
      </c>
      <c r="Q991" s="21" t="s">
        <v>70</v>
      </c>
      <c r="R991" s="161">
        <v>70</v>
      </c>
      <c r="S991" s="161" t="s">
        <v>71</v>
      </c>
      <c r="T991" s="161" t="s">
        <v>72</v>
      </c>
      <c r="U991" s="161" t="s">
        <v>73</v>
      </c>
      <c r="V991" s="21" t="s">
        <v>74</v>
      </c>
      <c r="W991" s="21" t="s">
        <v>75</v>
      </c>
      <c r="X991" s="161" t="s">
        <v>76</v>
      </c>
      <c r="Y991" s="161">
        <v>0.02</v>
      </c>
      <c r="Z991" s="161">
        <v>10</v>
      </c>
      <c r="AA991" s="161" t="s">
        <v>77</v>
      </c>
      <c r="AB991" s="161" t="s">
        <v>78</v>
      </c>
      <c r="AC991" s="266" t="str">
        <f>HYPERLINK("https://gcsvt.ru/svetodiodnyie-svetilniki/svt-str-bolid-120w-60/","Ссылка")</f>
        <v>Ссылка</v>
      </c>
      <c r="AD991" s="167">
        <v>41752</v>
      </c>
    </row>
    <row r="992" spans="1:30" s="161" customFormat="1" ht="39.950000000000003" hidden="1" customHeight="1" outlineLevel="1" x14ac:dyDescent="0.25">
      <c r="A992" s="150"/>
      <c r="B992" s="21" t="s">
        <v>60</v>
      </c>
      <c r="C992" s="159" t="s">
        <v>85</v>
      </c>
      <c r="D992" s="161">
        <v>30600</v>
      </c>
      <c r="E992" s="161">
        <v>180</v>
      </c>
      <c r="F992" s="161">
        <v>170</v>
      </c>
      <c r="G992" s="161" t="s">
        <v>86</v>
      </c>
      <c r="H992" s="161" t="s">
        <v>63</v>
      </c>
      <c r="I992" s="161">
        <v>67</v>
      </c>
      <c r="J992" s="161" t="s">
        <v>64</v>
      </c>
      <c r="K992" s="21" t="s">
        <v>65</v>
      </c>
      <c r="L992" s="161" t="s">
        <v>3380</v>
      </c>
      <c r="M992" s="21" t="s">
        <v>66</v>
      </c>
      <c r="N992" s="161" t="s">
        <v>67</v>
      </c>
      <c r="O992" s="21" t="s">
        <v>68</v>
      </c>
      <c r="P992" s="161" t="s">
        <v>69</v>
      </c>
      <c r="Q992" s="21" t="s">
        <v>70</v>
      </c>
      <c r="R992" s="161">
        <v>70</v>
      </c>
      <c r="S992" s="161" t="s">
        <v>87</v>
      </c>
      <c r="T992" s="161" t="s">
        <v>72</v>
      </c>
      <c r="U992" s="161" t="s">
        <v>73</v>
      </c>
      <c r="V992" s="21" t="s">
        <v>74</v>
      </c>
      <c r="W992" s="21" t="s">
        <v>75</v>
      </c>
      <c r="X992" s="161" t="s">
        <v>88</v>
      </c>
      <c r="Y992" s="161">
        <v>0.03</v>
      </c>
      <c r="Z992" s="161">
        <v>13.5</v>
      </c>
      <c r="AA992" s="161" t="s">
        <v>77</v>
      </c>
      <c r="AB992" s="161" t="s">
        <v>78</v>
      </c>
      <c r="AC992" s="266" t="str">
        <f>HYPERLINK("https://gcsvt.ru/svetodiodnyie-svetilniki/svt-str-bolid-180w-45x140/","Ссылка")</f>
        <v>Ссылка</v>
      </c>
      <c r="AD992" s="167">
        <v>52326</v>
      </c>
    </row>
    <row r="993" spans="1:30" s="161" customFormat="1" ht="39.950000000000003" hidden="1" customHeight="1" outlineLevel="1" x14ac:dyDescent="0.25">
      <c r="A993" s="150"/>
      <c r="B993" s="21" t="s">
        <v>60</v>
      </c>
      <c r="C993" s="159" t="s">
        <v>89</v>
      </c>
      <c r="D993" s="161">
        <v>30600</v>
      </c>
      <c r="E993" s="161">
        <v>180</v>
      </c>
      <c r="F993" s="161">
        <v>170</v>
      </c>
      <c r="G993" s="161" t="s">
        <v>90</v>
      </c>
      <c r="H993" s="161" t="s">
        <v>81</v>
      </c>
      <c r="I993" s="161">
        <v>67</v>
      </c>
      <c r="J993" s="161" t="s">
        <v>64</v>
      </c>
      <c r="K993" s="21" t="s">
        <v>65</v>
      </c>
      <c r="L993" s="161" t="s">
        <v>3380</v>
      </c>
      <c r="M993" s="21" t="s">
        <v>66</v>
      </c>
      <c r="N993" s="161" t="s">
        <v>67</v>
      </c>
      <c r="O993" s="21" t="s">
        <v>68</v>
      </c>
      <c r="P993" s="161" t="s">
        <v>69</v>
      </c>
      <c r="Q993" s="21" t="s">
        <v>70</v>
      </c>
      <c r="R993" s="161">
        <v>70</v>
      </c>
      <c r="S993" s="161" t="s">
        <v>87</v>
      </c>
      <c r="T993" s="161" t="s">
        <v>72</v>
      </c>
      <c r="U993" s="161" t="s">
        <v>73</v>
      </c>
      <c r="V993" s="21" t="s">
        <v>74</v>
      </c>
      <c r="W993" s="21" t="s">
        <v>75</v>
      </c>
      <c r="X993" s="161" t="s">
        <v>88</v>
      </c>
      <c r="Y993" s="161">
        <v>0.03</v>
      </c>
      <c r="Z993" s="161">
        <v>13.5</v>
      </c>
      <c r="AA993" s="161" t="s">
        <v>77</v>
      </c>
      <c r="AB993" s="161" t="s">
        <v>78</v>
      </c>
      <c r="AC993" s="266" t="str">
        <f>HYPERLINK("https://gcsvt.ru/svetodiodnyie-svetilniki/svt-str-bolid-180w-30/","Ссылка")</f>
        <v>Ссылка</v>
      </c>
      <c r="AD993" s="167">
        <v>52326</v>
      </c>
    </row>
    <row r="994" spans="1:30" s="161" customFormat="1" ht="39.950000000000003" hidden="1" customHeight="1" outlineLevel="1" x14ac:dyDescent="0.25">
      <c r="A994" s="150"/>
      <c r="B994" s="21" t="s">
        <v>60</v>
      </c>
      <c r="C994" s="159" t="s">
        <v>91</v>
      </c>
      <c r="D994" s="161">
        <v>30600</v>
      </c>
      <c r="E994" s="161">
        <v>180</v>
      </c>
      <c r="F994" s="161">
        <v>170</v>
      </c>
      <c r="G994" s="161" t="s">
        <v>92</v>
      </c>
      <c r="H994" s="161" t="s">
        <v>84</v>
      </c>
      <c r="I994" s="161">
        <v>67</v>
      </c>
      <c r="J994" s="161" t="s">
        <v>64</v>
      </c>
      <c r="K994" s="21" t="s">
        <v>65</v>
      </c>
      <c r="L994" s="161" t="s">
        <v>3380</v>
      </c>
      <c r="M994" s="21" t="s">
        <v>66</v>
      </c>
      <c r="N994" s="161" t="s">
        <v>67</v>
      </c>
      <c r="O994" s="21" t="s">
        <v>68</v>
      </c>
      <c r="P994" s="161" t="s">
        <v>69</v>
      </c>
      <c r="Q994" s="21" t="s">
        <v>70</v>
      </c>
      <c r="R994" s="161">
        <v>70</v>
      </c>
      <c r="S994" s="161" t="s">
        <v>87</v>
      </c>
      <c r="T994" s="161" t="s">
        <v>72</v>
      </c>
      <c r="U994" s="161" t="s">
        <v>73</v>
      </c>
      <c r="V994" s="21" t="s">
        <v>74</v>
      </c>
      <c r="W994" s="21" t="s">
        <v>75</v>
      </c>
      <c r="X994" s="161" t="s">
        <v>88</v>
      </c>
      <c r="Y994" s="161">
        <v>0.03</v>
      </c>
      <c r="Z994" s="161">
        <v>13.5</v>
      </c>
      <c r="AA994" s="161" t="s">
        <v>77</v>
      </c>
      <c r="AB994" s="161" t="s">
        <v>78</v>
      </c>
      <c r="AC994" s="266" t="str">
        <f>HYPERLINK("https://gcsvt.ru/svetodiodnyie-svetilniki/svt-str-bolid-180w-60/","Ссылка")</f>
        <v>Ссылка</v>
      </c>
      <c r="AD994" s="167">
        <v>52326</v>
      </c>
    </row>
    <row r="995" spans="1:30" s="161" customFormat="1" ht="39.950000000000003" hidden="1" customHeight="1" outlineLevel="1" x14ac:dyDescent="0.25">
      <c r="A995" s="150"/>
      <c r="B995" s="21" t="s">
        <v>60</v>
      </c>
      <c r="C995" s="159" t="s">
        <v>93</v>
      </c>
      <c r="D995" s="161">
        <v>40800</v>
      </c>
      <c r="E995" s="161">
        <v>240</v>
      </c>
      <c r="F995" s="161">
        <v>170</v>
      </c>
      <c r="G995" s="161" t="s">
        <v>94</v>
      </c>
      <c r="H995" s="161" t="s">
        <v>63</v>
      </c>
      <c r="I995" s="161">
        <v>67</v>
      </c>
      <c r="J995" s="161" t="s">
        <v>64</v>
      </c>
      <c r="K995" s="21" t="s">
        <v>65</v>
      </c>
      <c r="L995" s="161" t="s">
        <v>3380</v>
      </c>
      <c r="M995" s="21" t="s">
        <v>66</v>
      </c>
      <c r="N995" s="161" t="s">
        <v>67</v>
      </c>
      <c r="O995" s="21" t="s">
        <v>68</v>
      </c>
      <c r="P995" s="161" t="s">
        <v>69</v>
      </c>
      <c r="Q995" s="21" t="s">
        <v>70</v>
      </c>
      <c r="R995" s="161">
        <v>70</v>
      </c>
      <c r="S995" s="161" t="s">
        <v>95</v>
      </c>
      <c r="T995" s="161" t="s">
        <v>72</v>
      </c>
      <c r="U995" s="161" t="s">
        <v>73</v>
      </c>
      <c r="V995" s="21" t="s">
        <v>74</v>
      </c>
      <c r="W995" s="21" t="s">
        <v>75</v>
      </c>
      <c r="X995" s="161" t="s">
        <v>96</v>
      </c>
      <c r="Y995" s="161">
        <v>0.04</v>
      </c>
      <c r="Z995" s="161">
        <v>17.5</v>
      </c>
      <c r="AA995" s="161" t="s">
        <v>77</v>
      </c>
      <c r="AB995" s="161" t="s">
        <v>78</v>
      </c>
      <c r="AC995" s="266" t="str">
        <f>HYPERLINK("https://gcsvt.ru/svetodiodnyie-svetilniki/svt-str-bolid-240w-45x140/","Ссылка")</f>
        <v>Ссылка</v>
      </c>
      <c r="AD995" s="167">
        <v>69585</v>
      </c>
    </row>
    <row r="996" spans="1:30" s="161" customFormat="1" ht="39.950000000000003" hidden="1" customHeight="1" outlineLevel="1" x14ac:dyDescent="0.25">
      <c r="A996" s="150"/>
      <c r="B996" s="21" t="s">
        <v>60</v>
      </c>
      <c r="C996" s="159" t="s">
        <v>97</v>
      </c>
      <c r="D996" s="161">
        <v>40800</v>
      </c>
      <c r="E996" s="161">
        <v>240</v>
      </c>
      <c r="F996" s="161">
        <v>170</v>
      </c>
      <c r="G996" s="161" t="s">
        <v>98</v>
      </c>
      <c r="H996" s="161" t="s">
        <v>81</v>
      </c>
      <c r="I996" s="161">
        <v>67</v>
      </c>
      <c r="J996" s="161" t="s">
        <v>64</v>
      </c>
      <c r="K996" s="21" t="s">
        <v>65</v>
      </c>
      <c r="L996" s="161" t="s">
        <v>3380</v>
      </c>
      <c r="M996" s="21" t="s">
        <v>66</v>
      </c>
      <c r="N996" s="161" t="s">
        <v>67</v>
      </c>
      <c r="O996" s="21" t="s">
        <v>68</v>
      </c>
      <c r="P996" s="161" t="s">
        <v>69</v>
      </c>
      <c r="Q996" s="21" t="s">
        <v>70</v>
      </c>
      <c r="R996" s="161">
        <v>70</v>
      </c>
      <c r="S996" s="161" t="s">
        <v>95</v>
      </c>
      <c r="T996" s="161" t="s">
        <v>72</v>
      </c>
      <c r="U996" s="161" t="s">
        <v>73</v>
      </c>
      <c r="V996" s="21" t="s">
        <v>74</v>
      </c>
      <c r="W996" s="21" t="s">
        <v>75</v>
      </c>
      <c r="X996" s="161" t="s">
        <v>96</v>
      </c>
      <c r="Y996" s="161">
        <v>0.04</v>
      </c>
      <c r="Z996" s="161">
        <v>17.5</v>
      </c>
      <c r="AA996" s="161" t="s">
        <v>77</v>
      </c>
      <c r="AB996" s="161" t="s">
        <v>78</v>
      </c>
      <c r="AC996" s="266" t="str">
        <f>HYPERLINK("https://gcsvt.ru/svetodiodnyie-svetilniki/svt-str-bolid-240w-30/","Ссылка")</f>
        <v>Ссылка</v>
      </c>
      <c r="AD996" s="167">
        <v>69585</v>
      </c>
    </row>
    <row r="997" spans="1:30" s="161" customFormat="1" ht="39.950000000000003" hidden="1" customHeight="1" outlineLevel="1" x14ac:dyDescent="0.25">
      <c r="A997" s="150"/>
      <c r="B997" s="21" t="s">
        <v>60</v>
      </c>
      <c r="C997" s="159" t="s">
        <v>99</v>
      </c>
      <c r="D997" s="161">
        <v>40800</v>
      </c>
      <c r="E997" s="161">
        <v>240</v>
      </c>
      <c r="F997" s="161">
        <v>170</v>
      </c>
      <c r="G997" s="161" t="s">
        <v>100</v>
      </c>
      <c r="H997" s="161" t="s">
        <v>84</v>
      </c>
      <c r="I997" s="161">
        <v>67</v>
      </c>
      <c r="J997" s="161" t="s">
        <v>64</v>
      </c>
      <c r="K997" s="21" t="s">
        <v>65</v>
      </c>
      <c r="L997" s="161" t="s">
        <v>3380</v>
      </c>
      <c r="M997" s="21" t="s">
        <v>66</v>
      </c>
      <c r="N997" s="161" t="s">
        <v>67</v>
      </c>
      <c r="O997" s="21" t="s">
        <v>68</v>
      </c>
      <c r="P997" s="161" t="s">
        <v>69</v>
      </c>
      <c r="Q997" s="21" t="s">
        <v>70</v>
      </c>
      <c r="R997" s="161">
        <v>70</v>
      </c>
      <c r="S997" s="161" t="s">
        <v>95</v>
      </c>
      <c r="T997" s="161" t="s">
        <v>72</v>
      </c>
      <c r="U997" s="161" t="s">
        <v>73</v>
      </c>
      <c r="V997" s="21" t="s">
        <v>74</v>
      </c>
      <c r="W997" s="21" t="s">
        <v>75</v>
      </c>
      <c r="X997" s="161" t="s">
        <v>96</v>
      </c>
      <c r="Y997" s="161">
        <v>0.04</v>
      </c>
      <c r="Z997" s="161">
        <v>17.5</v>
      </c>
      <c r="AA997" s="161" t="s">
        <v>77</v>
      </c>
      <c r="AB997" s="161" t="s">
        <v>78</v>
      </c>
      <c r="AC997" s="266" t="str">
        <f>HYPERLINK("https://gcsvt.ru/svetodiodnyie-svetilniki/svt-str-bolid-240w-60/","Ссылка")</f>
        <v>Ссылка</v>
      </c>
      <c r="AD997" s="167">
        <v>69585</v>
      </c>
    </row>
    <row r="998" spans="1:30" s="161" customFormat="1" ht="39.950000000000003" hidden="1" customHeight="1" outlineLevel="1" x14ac:dyDescent="0.25">
      <c r="A998" s="150"/>
      <c r="B998" s="196" t="s">
        <v>101</v>
      </c>
      <c r="C998" s="159"/>
      <c r="K998" s="21"/>
      <c r="M998" s="21"/>
      <c r="O998" s="21"/>
      <c r="Q998" s="21"/>
      <c r="V998" s="21"/>
      <c r="W998" s="21"/>
      <c r="AC998" s="228"/>
      <c r="AD998" s="167"/>
    </row>
    <row r="999" spans="1:30" s="161" customFormat="1" ht="39.950000000000003" hidden="1" customHeight="1" outlineLevel="1" x14ac:dyDescent="0.25">
      <c r="A999" s="150"/>
      <c r="B999" s="21" t="s">
        <v>102</v>
      </c>
      <c r="C999" s="159" t="s">
        <v>103</v>
      </c>
      <c r="D999" s="161">
        <v>5100</v>
      </c>
      <c r="E999" s="161">
        <v>30</v>
      </c>
      <c r="F999" s="161">
        <v>170</v>
      </c>
      <c r="G999" s="161" t="s">
        <v>104</v>
      </c>
      <c r="H999" s="161" t="s">
        <v>63</v>
      </c>
      <c r="I999" s="161">
        <v>67</v>
      </c>
      <c r="J999" s="161" t="s">
        <v>105</v>
      </c>
      <c r="K999" s="21" t="s">
        <v>106</v>
      </c>
      <c r="L999" s="161" t="s">
        <v>3380</v>
      </c>
      <c r="M999" s="21" t="s">
        <v>107</v>
      </c>
      <c r="N999" s="161" t="s">
        <v>108</v>
      </c>
      <c r="O999" s="21" t="s">
        <v>68</v>
      </c>
      <c r="P999" s="161" t="s">
        <v>109</v>
      </c>
      <c r="Q999" s="21" t="s">
        <v>70</v>
      </c>
      <c r="R999" s="161">
        <v>70</v>
      </c>
      <c r="S999" s="161" t="s">
        <v>110</v>
      </c>
      <c r="T999" s="161" t="s">
        <v>111</v>
      </c>
      <c r="U999" s="161" t="s">
        <v>73</v>
      </c>
      <c r="V999" s="21" t="s">
        <v>74</v>
      </c>
      <c r="W999" s="21" t="s">
        <v>112</v>
      </c>
      <c r="X999" s="161" t="s">
        <v>113</v>
      </c>
      <c r="Y999" s="161">
        <v>0.01</v>
      </c>
      <c r="Z999" s="161">
        <v>1.4</v>
      </c>
      <c r="AA999" s="161" t="s">
        <v>77</v>
      </c>
      <c r="AB999" s="161" t="s">
        <v>114</v>
      </c>
      <c r="AC999" s="266" t="str">
        <f>HYPERLINK("https://gcsvt.ru/svetodiodnyie-svetilniki/svt-str-bm-30w-45x140/","Ссылка")</f>
        <v>Ссылка</v>
      </c>
      <c r="AD999" s="167">
        <v>7650</v>
      </c>
    </row>
    <row r="1000" spans="1:30" s="161" customFormat="1" ht="39.950000000000003" hidden="1" customHeight="1" outlineLevel="1" x14ac:dyDescent="0.25">
      <c r="A1000" s="150"/>
      <c r="B1000" s="21" t="s">
        <v>102</v>
      </c>
      <c r="C1000" s="159" t="s">
        <v>115</v>
      </c>
      <c r="D1000" s="161">
        <v>5100</v>
      </c>
      <c r="E1000" s="161">
        <v>30</v>
      </c>
      <c r="F1000" s="161">
        <v>170</v>
      </c>
      <c r="G1000" s="161" t="s">
        <v>116</v>
      </c>
      <c r="H1000" s="161" t="s">
        <v>81</v>
      </c>
      <c r="I1000" s="161">
        <v>67</v>
      </c>
      <c r="J1000" s="161" t="s">
        <v>105</v>
      </c>
      <c r="K1000" s="21" t="s">
        <v>106</v>
      </c>
      <c r="L1000" s="161" t="s">
        <v>3380</v>
      </c>
      <c r="M1000" s="21" t="s">
        <v>107</v>
      </c>
      <c r="N1000" s="161" t="s">
        <v>108</v>
      </c>
      <c r="O1000" s="21" t="s">
        <v>68</v>
      </c>
      <c r="P1000" s="161" t="s">
        <v>109</v>
      </c>
      <c r="Q1000" s="21" t="s">
        <v>70</v>
      </c>
      <c r="R1000" s="161">
        <v>70</v>
      </c>
      <c r="S1000" s="161" t="s">
        <v>110</v>
      </c>
      <c r="T1000" s="161" t="s">
        <v>111</v>
      </c>
      <c r="U1000" s="161" t="s">
        <v>73</v>
      </c>
      <c r="V1000" s="21" t="s">
        <v>74</v>
      </c>
      <c r="W1000" s="21" t="s">
        <v>112</v>
      </c>
      <c r="X1000" s="161" t="s">
        <v>113</v>
      </c>
      <c r="Y1000" s="161">
        <v>0.01</v>
      </c>
      <c r="Z1000" s="161">
        <v>1.4</v>
      </c>
      <c r="AA1000" s="161" t="s">
        <v>77</v>
      </c>
      <c r="AB1000" s="161" t="s">
        <v>114</v>
      </c>
      <c r="AC1000" s="266" t="str">
        <f>HYPERLINK("https://gcsvt.ru/svetodiodnyie-svetilniki/svt-str-bm-30w-30/","Ссылка")</f>
        <v>Ссылка</v>
      </c>
      <c r="AD1000" s="167">
        <v>7650</v>
      </c>
    </row>
    <row r="1001" spans="1:30" s="161" customFormat="1" ht="39.950000000000003" hidden="1" customHeight="1" outlineLevel="1" x14ac:dyDescent="0.25">
      <c r="A1001" s="150"/>
      <c r="B1001" s="21" t="s">
        <v>102</v>
      </c>
      <c r="C1001" s="159" t="s">
        <v>117</v>
      </c>
      <c r="D1001" s="161">
        <v>5100</v>
      </c>
      <c r="E1001" s="161">
        <v>30</v>
      </c>
      <c r="F1001" s="161">
        <v>170</v>
      </c>
      <c r="G1001" s="161" t="s">
        <v>118</v>
      </c>
      <c r="H1001" s="161" t="s">
        <v>84</v>
      </c>
      <c r="I1001" s="161">
        <v>67</v>
      </c>
      <c r="J1001" s="161" t="s">
        <v>105</v>
      </c>
      <c r="K1001" s="21" t="s">
        <v>106</v>
      </c>
      <c r="L1001" s="161" t="s">
        <v>3380</v>
      </c>
      <c r="M1001" s="21" t="s">
        <v>107</v>
      </c>
      <c r="N1001" s="161" t="s">
        <v>108</v>
      </c>
      <c r="O1001" s="21" t="s">
        <v>68</v>
      </c>
      <c r="P1001" s="161" t="s">
        <v>109</v>
      </c>
      <c r="Q1001" s="21" t="s">
        <v>70</v>
      </c>
      <c r="R1001" s="161">
        <v>70</v>
      </c>
      <c r="S1001" s="161" t="s">
        <v>110</v>
      </c>
      <c r="T1001" s="161" t="s">
        <v>111</v>
      </c>
      <c r="U1001" s="161" t="s">
        <v>73</v>
      </c>
      <c r="V1001" s="21" t="s">
        <v>74</v>
      </c>
      <c r="W1001" s="21" t="s">
        <v>112</v>
      </c>
      <c r="X1001" s="161" t="s">
        <v>113</v>
      </c>
      <c r="Y1001" s="161">
        <v>0.01</v>
      </c>
      <c r="Z1001" s="161">
        <v>1.4</v>
      </c>
      <c r="AA1001" s="161" t="s">
        <v>77</v>
      </c>
      <c r="AB1001" s="161" t="s">
        <v>114</v>
      </c>
      <c r="AC1001" s="266" t="str">
        <f>HYPERLINK("https://gcsvt.ru/svetodiodnyie-svetilniki/svt-str-bm-30w-60/","Ссылка")</f>
        <v>Ссылка</v>
      </c>
      <c r="AD1001" s="167">
        <v>7650</v>
      </c>
    </row>
    <row r="1002" spans="1:30" s="161" customFormat="1" ht="39.950000000000003" hidden="1" customHeight="1" outlineLevel="1" x14ac:dyDescent="0.25">
      <c r="A1002" s="150"/>
      <c r="B1002" s="21" t="s">
        <v>102</v>
      </c>
      <c r="C1002" s="159" t="s">
        <v>3154</v>
      </c>
      <c r="D1002" s="161">
        <v>5100</v>
      </c>
      <c r="E1002" s="161">
        <v>30</v>
      </c>
      <c r="F1002" s="161">
        <v>170</v>
      </c>
      <c r="G1002" s="161" t="s">
        <v>3153</v>
      </c>
      <c r="H1002" s="161" t="s">
        <v>1617</v>
      </c>
      <c r="I1002" s="161">
        <v>67</v>
      </c>
      <c r="J1002" s="161" t="s">
        <v>105</v>
      </c>
      <c r="K1002" s="21" t="s">
        <v>106</v>
      </c>
      <c r="L1002" s="161" t="s">
        <v>3380</v>
      </c>
      <c r="M1002" s="21" t="s">
        <v>107</v>
      </c>
      <c r="N1002" s="161" t="s">
        <v>108</v>
      </c>
      <c r="O1002" s="21" t="s">
        <v>68</v>
      </c>
      <c r="P1002" s="161" t="s">
        <v>109</v>
      </c>
      <c r="Q1002" s="21" t="s">
        <v>70</v>
      </c>
      <c r="R1002" s="161">
        <v>70</v>
      </c>
      <c r="S1002" s="161" t="s">
        <v>110</v>
      </c>
      <c r="T1002" s="161" t="s">
        <v>111</v>
      </c>
      <c r="U1002" s="161" t="s">
        <v>73</v>
      </c>
      <c r="V1002" s="21" t="s">
        <v>74</v>
      </c>
      <c r="W1002" s="21" t="s">
        <v>112</v>
      </c>
      <c r="X1002" s="161" t="s">
        <v>113</v>
      </c>
      <c r="Y1002" s="161">
        <v>0.01</v>
      </c>
      <c r="Z1002" s="161">
        <v>1.4</v>
      </c>
      <c r="AA1002" s="161" t="s">
        <v>77</v>
      </c>
      <c r="AB1002" s="161" t="s">
        <v>114</v>
      </c>
      <c r="AC1002" s="266" t="str">
        <f>HYPERLINK("https://gcsvt.ru/svetodiodnyie-svetilniki/svt-str-bm-30w-90/","Ссылка")</f>
        <v>Ссылка</v>
      </c>
      <c r="AD1002" s="167">
        <v>7650</v>
      </c>
    </row>
    <row r="1003" spans="1:30" s="161" customFormat="1" ht="39.950000000000003" hidden="1" customHeight="1" outlineLevel="1" x14ac:dyDescent="0.25">
      <c r="A1003" s="150"/>
      <c r="B1003" s="21" t="s">
        <v>102</v>
      </c>
      <c r="C1003" s="159" t="s">
        <v>3094</v>
      </c>
      <c r="D1003" s="161">
        <v>7290</v>
      </c>
      <c r="E1003" s="161">
        <v>45</v>
      </c>
      <c r="F1003" s="161">
        <v>162</v>
      </c>
      <c r="G1003" s="161" t="s">
        <v>3098</v>
      </c>
      <c r="H1003" s="161" t="s">
        <v>63</v>
      </c>
      <c r="I1003" s="161">
        <v>67</v>
      </c>
      <c r="J1003" s="161" t="s">
        <v>105</v>
      </c>
      <c r="K1003" s="21" t="s">
        <v>106</v>
      </c>
      <c r="L1003" s="161" t="s">
        <v>3380</v>
      </c>
      <c r="M1003" s="21" t="s">
        <v>107</v>
      </c>
      <c r="N1003" s="161" t="s">
        <v>108</v>
      </c>
      <c r="O1003" s="21" t="s">
        <v>68</v>
      </c>
      <c r="P1003" s="161" t="s">
        <v>109</v>
      </c>
      <c r="Q1003" s="21" t="s">
        <v>70</v>
      </c>
      <c r="R1003" s="161">
        <v>70</v>
      </c>
      <c r="S1003" s="161" t="s">
        <v>110</v>
      </c>
      <c r="T1003" s="161" t="s">
        <v>3096</v>
      </c>
      <c r="U1003" s="161" t="s">
        <v>73</v>
      </c>
      <c r="V1003" s="21" t="s">
        <v>74</v>
      </c>
      <c r="W1003" s="21" t="s">
        <v>112</v>
      </c>
      <c r="X1003" s="161" t="s">
        <v>3097</v>
      </c>
      <c r="Y1003" s="161">
        <v>0.01</v>
      </c>
      <c r="Z1003" s="161">
        <v>1.6</v>
      </c>
      <c r="AA1003" s="161" t="s">
        <v>77</v>
      </c>
      <c r="AB1003" s="161" t="s">
        <v>114</v>
      </c>
      <c r="AC1003" s="266" t="str">
        <f>HYPERLINK("https://gcsvt.ru/svetodiodnyie-svetilniki/svt-str-bm-45w-45x140/","Ссылка")</f>
        <v>Ссылка</v>
      </c>
      <c r="AD1003" s="167">
        <v>8568</v>
      </c>
    </row>
    <row r="1004" spans="1:30" s="161" customFormat="1" ht="39.950000000000003" hidden="1" customHeight="1" outlineLevel="1" x14ac:dyDescent="0.25">
      <c r="A1004" s="150"/>
      <c r="B1004" s="21" t="s">
        <v>102</v>
      </c>
      <c r="C1004" s="159" t="s">
        <v>3095</v>
      </c>
      <c r="D1004" s="161">
        <v>7290</v>
      </c>
      <c r="E1004" s="161">
        <v>45</v>
      </c>
      <c r="F1004" s="161">
        <v>162</v>
      </c>
      <c r="G1004" s="161" t="s">
        <v>3099</v>
      </c>
      <c r="H1004" s="161" t="s">
        <v>81</v>
      </c>
      <c r="I1004" s="161">
        <v>67</v>
      </c>
      <c r="J1004" s="161" t="s">
        <v>105</v>
      </c>
      <c r="K1004" s="21" t="s">
        <v>106</v>
      </c>
      <c r="L1004" s="161" t="s">
        <v>3380</v>
      </c>
      <c r="M1004" s="21" t="s">
        <v>107</v>
      </c>
      <c r="N1004" s="161" t="s">
        <v>108</v>
      </c>
      <c r="O1004" s="21" t="s">
        <v>68</v>
      </c>
      <c r="P1004" s="161" t="s">
        <v>109</v>
      </c>
      <c r="Q1004" s="21" t="s">
        <v>70</v>
      </c>
      <c r="R1004" s="161">
        <v>70</v>
      </c>
      <c r="S1004" s="161" t="s">
        <v>110</v>
      </c>
      <c r="T1004" s="161" t="s">
        <v>3096</v>
      </c>
      <c r="U1004" s="161" t="s">
        <v>73</v>
      </c>
      <c r="V1004" s="21" t="s">
        <v>74</v>
      </c>
      <c r="W1004" s="21" t="s">
        <v>112</v>
      </c>
      <c r="X1004" s="161" t="s">
        <v>3097</v>
      </c>
      <c r="Y1004" s="161">
        <v>0.01</v>
      </c>
      <c r="Z1004" s="161">
        <v>1.6</v>
      </c>
      <c r="AA1004" s="161" t="s">
        <v>77</v>
      </c>
      <c r="AB1004" s="161" t="s">
        <v>114</v>
      </c>
      <c r="AC1004" s="266" t="str">
        <f>HYPERLINK("https://gcsvt.ru/svetodiodnyie-svetilniki/svt-str-bm-45w-30/","Ссылка")</f>
        <v>Ссылка</v>
      </c>
      <c r="AD1004" s="167">
        <v>8568</v>
      </c>
    </row>
    <row r="1005" spans="1:30" s="161" customFormat="1" ht="39.950000000000003" hidden="1" customHeight="1" outlineLevel="1" x14ac:dyDescent="0.25">
      <c r="A1005" s="150"/>
      <c r="B1005" s="21" t="s">
        <v>102</v>
      </c>
      <c r="C1005" s="159" t="s">
        <v>3093</v>
      </c>
      <c r="D1005" s="161">
        <v>7290</v>
      </c>
      <c r="E1005" s="161">
        <v>45</v>
      </c>
      <c r="F1005" s="161">
        <v>162</v>
      </c>
      <c r="G1005" s="161" t="s">
        <v>3100</v>
      </c>
      <c r="H1005" s="161" t="s">
        <v>84</v>
      </c>
      <c r="I1005" s="161">
        <v>67</v>
      </c>
      <c r="J1005" s="161" t="s">
        <v>105</v>
      </c>
      <c r="K1005" s="21" t="s">
        <v>106</v>
      </c>
      <c r="L1005" s="161" t="s">
        <v>3380</v>
      </c>
      <c r="M1005" s="21" t="s">
        <v>107</v>
      </c>
      <c r="N1005" s="161" t="s">
        <v>108</v>
      </c>
      <c r="O1005" s="21" t="s">
        <v>68</v>
      </c>
      <c r="P1005" s="161" t="s">
        <v>109</v>
      </c>
      <c r="Q1005" s="21" t="s">
        <v>70</v>
      </c>
      <c r="R1005" s="161">
        <v>70</v>
      </c>
      <c r="S1005" s="161" t="s">
        <v>110</v>
      </c>
      <c r="T1005" s="161" t="s">
        <v>3096</v>
      </c>
      <c r="U1005" s="161" t="s">
        <v>73</v>
      </c>
      <c r="V1005" s="21" t="s">
        <v>74</v>
      </c>
      <c r="W1005" s="21" t="s">
        <v>112</v>
      </c>
      <c r="X1005" s="161" t="s">
        <v>3097</v>
      </c>
      <c r="Y1005" s="161">
        <v>0.01</v>
      </c>
      <c r="Z1005" s="161">
        <v>1.6</v>
      </c>
      <c r="AA1005" s="161" t="s">
        <v>77</v>
      </c>
      <c r="AB1005" s="161" t="s">
        <v>114</v>
      </c>
      <c r="AC1005" s="266" t="str">
        <f>HYPERLINK("https://gcsvt.ru/svetodiodnyie-svetilniki/svt-str-bm-45w-60/","Ссылка")</f>
        <v>Ссылка</v>
      </c>
      <c r="AD1005" s="167">
        <v>8568</v>
      </c>
    </row>
    <row r="1006" spans="1:30" s="161" customFormat="1" ht="39.950000000000003" hidden="1" customHeight="1" outlineLevel="1" x14ac:dyDescent="0.25">
      <c r="A1006" s="150"/>
      <c r="B1006" s="21" t="s">
        <v>102</v>
      </c>
      <c r="C1006" s="159" t="s">
        <v>3155</v>
      </c>
      <c r="D1006" s="161">
        <v>7290</v>
      </c>
      <c r="E1006" s="161">
        <v>45</v>
      </c>
      <c r="F1006" s="161">
        <v>162</v>
      </c>
      <c r="G1006" s="161" t="s">
        <v>3156</v>
      </c>
      <c r="H1006" s="161" t="s">
        <v>1617</v>
      </c>
      <c r="I1006" s="161">
        <v>67</v>
      </c>
      <c r="J1006" s="161" t="s">
        <v>105</v>
      </c>
      <c r="K1006" s="21" t="s">
        <v>106</v>
      </c>
      <c r="L1006" s="161" t="s">
        <v>3380</v>
      </c>
      <c r="M1006" s="21" t="s">
        <v>107</v>
      </c>
      <c r="N1006" s="161" t="s">
        <v>108</v>
      </c>
      <c r="O1006" s="21" t="s">
        <v>68</v>
      </c>
      <c r="P1006" s="161" t="s">
        <v>109</v>
      </c>
      <c r="Q1006" s="21" t="s">
        <v>70</v>
      </c>
      <c r="R1006" s="161">
        <v>70</v>
      </c>
      <c r="S1006" s="161" t="s">
        <v>110</v>
      </c>
      <c r="T1006" s="161" t="s">
        <v>3096</v>
      </c>
      <c r="U1006" s="161" t="s">
        <v>73</v>
      </c>
      <c r="V1006" s="21" t="s">
        <v>74</v>
      </c>
      <c r="W1006" s="21" t="s">
        <v>112</v>
      </c>
      <c r="X1006" s="161" t="s">
        <v>3097</v>
      </c>
      <c r="Y1006" s="161">
        <v>0.01</v>
      </c>
      <c r="Z1006" s="161">
        <v>1.6</v>
      </c>
      <c r="AA1006" s="161" t="s">
        <v>77</v>
      </c>
      <c r="AB1006" s="161" t="s">
        <v>114</v>
      </c>
      <c r="AC1006" s="266" t="str">
        <f>HYPERLINK("https://gcsvt.ru/svetodiodnyie-svetilniki/svt-str-bm-45w-90/","Ссылка")</f>
        <v>Ссылка</v>
      </c>
      <c r="AD1006" s="167">
        <v>8568</v>
      </c>
    </row>
    <row r="1007" spans="1:30" s="161" customFormat="1" ht="39.950000000000003" hidden="1" customHeight="1" outlineLevel="1" x14ac:dyDescent="0.25">
      <c r="A1007" s="150"/>
      <c r="B1007" s="21" t="s">
        <v>102</v>
      </c>
      <c r="C1007" s="159" t="s">
        <v>119</v>
      </c>
      <c r="D1007" s="161">
        <v>10200</v>
      </c>
      <c r="E1007" s="161">
        <v>60</v>
      </c>
      <c r="F1007" s="161">
        <v>170</v>
      </c>
      <c r="G1007" s="161" t="s">
        <v>120</v>
      </c>
      <c r="H1007" s="161" t="s">
        <v>63</v>
      </c>
      <c r="I1007" s="161">
        <v>67</v>
      </c>
      <c r="J1007" s="161" t="s">
        <v>105</v>
      </c>
      <c r="K1007" s="21" t="s">
        <v>106</v>
      </c>
      <c r="L1007" s="161" t="s">
        <v>3380</v>
      </c>
      <c r="M1007" s="21" t="s">
        <v>107</v>
      </c>
      <c r="N1007" s="161" t="s">
        <v>108</v>
      </c>
      <c r="O1007" s="21" t="s">
        <v>68</v>
      </c>
      <c r="P1007" s="161" t="s">
        <v>109</v>
      </c>
      <c r="Q1007" s="21" t="s">
        <v>70</v>
      </c>
      <c r="R1007" s="161">
        <v>70</v>
      </c>
      <c r="S1007" s="161" t="s">
        <v>121</v>
      </c>
      <c r="T1007" s="161" t="s">
        <v>111</v>
      </c>
      <c r="U1007" s="161" t="s">
        <v>73</v>
      </c>
      <c r="V1007" s="21" t="s">
        <v>74</v>
      </c>
      <c r="W1007" s="21" t="s">
        <v>112</v>
      </c>
      <c r="X1007" s="161" t="s">
        <v>122</v>
      </c>
      <c r="Y1007" s="161">
        <v>0.01</v>
      </c>
      <c r="Z1007" s="161">
        <v>1.8</v>
      </c>
      <c r="AA1007" s="161" t="s">
        <v>77</v>
      </c>
      <c r="AB1007" s="161" t="s">
        <v>114</v>
      </c>
      <c r="AC1007" s="266" t="str">
        <f>HYPERLINK("https://gcsvt.ru/svetodiodnyie-svetilniki/svt-str-bm-60w-45x140/","Ссылка")</f>
        <v>Ссылка</v>
      </c>
      <c r="AD1007" s="167">
        <v>11669</v>
      </c>
    </row>
    <row r="1008" spans="1:30" s="161" customFormat="1" ht="39.950000000000003" hidden="1" customHeight="1" outlineLevel="1" x14ac:dyDescent="0.25">
      <c r="A1008" s="150"/>
      <c r="B1008" s="21" t="s">
        <v>102</v>
      </c>
      <c r="C1008" s="159" t="s">
        <v>123</v>
      </c>
      <c r="D1008" s="161">
        <v>10200</v>
      </c>
      <c r="E1008" s="161">
        <v>60</v>
      </c>
      <c r="F1008" s="161">
        <v>170</v>
      </c>
      <c r="G1008" s="161" t="s">
        <v>124</v>
      </c>
      <c r="H1008" s="161" t="s">
        <v>81</v>
      </c>
      <c r="I1008" s="161">
        <v>67</v>
      </c>
      <c r="J1008" s="161" t="s">
        <v>105</v>
      </c>
      <c r="K1008" s="21" t="s">
        <v>106</v>
      </c>
      <c r="L1008" s="161" t="s">
        <v>3380</v>
      </c>
      <c r="M1008" s="21" t="s">
        <v>107</v>
      </c>
      <c r="N1008" s="161" t="s">
        <v>108</v>
      </c>
      <c r="O1008" s="21" t="s">
        <v>68</v>
      </c>
      <c r="P1008" s="161" t="s">
        <v>109</v>
      </c>
      <c r="Q1008" s="21" t="s">
        <v>70</v>
      </c>
      <c r="R1008" s="161">
        <v>70</v>
      </c>
      <c r="S1008" s="161" t="s">
        <v>121</v>
      </c>
      <c r="T1008" s="161" t="s">
        <v>111</v>
      </c>
      <c r="U1008" s="161" t="s">
        <v>73</v>
      </c>
      <c r="V1008" s="21" t="s">
        <v>74</v>
      </c>
      <c r="W1008" s="21" t="s">
        <v>112</v>
      </c>
      <c r="X1008" s="161" t="s">
        <v>122</v>
      </c>
      <c r="Y1008" s="161">
        <v>0.01</v>
      </c>
      <c r="Z1008" s="161">
        <v>1.8</v>
      </c>
      <c r="AA1008" s="161" t="s">
        <v>77</v>
      </c>
      <c r="AB1008" s="161" t="s">
        <v>114</v>
      </c>
      <c r="AC1008" s="266" t="str">
        <f>HYPERLINK("https://gcsvt.ru/svetodiodnyie-svetilniki/svt-str-bm-60w-30/","Ссылка")</f>
        <v>Ссылка</v>
      </c>
      <c r="AD1008" s="167">
        <v>11669</v>
      </c>
    </row>
    <row r="1009" spans="1:30" s="161" customFormat="1" ht="39.950000000000003" hidden="1" customHeight="1" outlineLevel="1" x14ac:dyDescent="0.25">
      <c r="A1009" s="150"/>
      <c r="B1009" s="21" t="s">
        <v>102</v>
      </c>
      <c r="C1009" s="159" t="s">
        <v>125</v>
      </c>
      <c r="D1009" s="161">
        <v>10200</v>
      </c>
      <c r="E1009" s="161">
        <v>60</v>
      </c>
      <c r="F1009" s="161">
        <v>170</v>
      </c>
      <c r="G1009" s="161" t="s">
        <v>126</v>
      </c>
      <c r="H1009" s="161" t="s">
        <v>84</v>
      </c>
      <c r="I1009" s="161">
        <v>67</v>
      </c>
      <c r="J1009" s="161" t="s">
        <v>105</v>
      </c>
      <c r="K1009" s="21" t="s">
        <v>106</v>
      </c>
      <c r="L1009" s="161" t="s">
        <v>3380</v>
      </c>
      <c r="M1009" s="21" t="s">
        <v>107</v>
      </c>
      <c r="N1009" s="161" t="s">
        <v>108</v>
      </c>
      <c r="O1009" s="21" t="s">
        <v>68</v>
      </c>
      <c r="P1009" s="161" t="s">
        <v>109</v>
      </c>
      <c r="Q1009" s="21" t="s">
        <v>70</v>
      </c>
      <c r="R1009" s="161">
        <v>70</v>
      </c>
      <c r="S1009" s="161" t="s">
        <v>121</v>
      </c>
      <c r="T1009" s="161" t="s">
        <v>111</v>
      </c>
      <c r="U1009" s="161" t="s">
        <v>73</v>
      </c>
      <c r="V1009" s="21" t="s">
        <v>74</v>
      </c>
      <c r="W1009" s="21" t="s">
        <v>112</v>
      </c>
      <c r="X1009" s="161" t="s">
        <v>122</v>
      </c>
      <c r="Y1009" s="161">
        <v>0.01</v>
      </c>
      <c r="Z1009" s="161">
        <v>1.8</v>
      </c>
      <c r="AA1009" s="161" t="s">
        <v>77</v>
      </c>
      <c r="AB1009" s="161" t="s">
        <v>114</v>
      </c>
      <c r="AC1009" s="266" t="str">
        <f>HYPERLINK("https://gcsvt.ru/svetodiodnyie-svetilniki/svt-str-bm-60w-60/","Ссылка")</f>
        <v>Ссылка</v>
      </c>
      <c r="AD1009" s="167">
        <v>11669</v>
      </c>
    </row>
    <row r="1010" spans="1:30" s="161" customFormat="1" ht="39.950000000000003" hidden="1" customHeight="1" outlineLevel="1" x14ac:dyDescent="0.25">
      <c r="A1010" s="150"/>
      <c r="B1010" s="21" t="s">
        <v>102</v>
      </c>
      <c r="C1010" s="159" t="s">
        <v>3157</v>
      </c>
      <c r="D1010" s="161">
        <v>10200</v>
      </c>
      <c r="E1010" s="161">
        <v>60</v>
      </c>
      <c r="F1010" s="161">
        <v>170</v>
      </c>
      <c r="G1010" s="161" t="s">
        <v>3158</v>
      </c>
      <c r="H1010" s="161" t="s">
        <v>1617</v>
      </c>
      <c r="I1010" s="161">
        <v>67</v>
      </c>
      <c r="J1010" s="161" t="s">
        <v>105</v>
      </c>
      <c r="K1010" s="21" t="s">
        <v>106</v>
      </c>
      <c r="L1010" s="161" t="s">
        <v>3380</v>
      </c>
      <c r="M1010" s="21" t="s">
        <v>107</v>
      </c>
      <c r="N1010" s="161" t="s">
        <v>108</v>
      </c>
      <c r="O1010" s="21" t="s">
        <v>68</v>
      </c>
      <c r="P1010" s="161" t="s">
        <v>109</v>
      </c>
      <c r="Q1010" s="21" t="s">
        <v>70</v>
      </c>
      <c r="R1010" s="161">
        <v>70</v>
      </c>
      <c r="S1010" s="161" t="s">
        <v>121</v>
      </c>
      <c r="T1010" s="161" t="s">
        <v>111</v>
      </c>
      <c r="U1010" s="161" t="s">
        <v>73</v>
      </c>
      <c r="V1010" s="21" t="s">
        <v>74</v>
      </c>
      <c r="W1010" s="21" t="s">
        <v>112</v>
      </c>
      <c r="X1010" s="161" t="s">
        <v>122</v>
      </c>
      <c r="Y1010" s="161">
        <v>0.01</v>
      </c>
      <c r="Z1010" s="161">
        <v>1.8</v>
      </c>
      <c r="AA1010" s="161" t="s">
        <v>77</v>
      </c>
      <c r="AB1010" s="161" t="s">
        <v>114</v>
      </c>
      <c r="AC1010" s="266" t="str">
        <f>HYPERLINK("https://gcsvt.ru/svetodiodnyie-svetilniki/svt-str-bm-60w-90/","Ссылка")</f>
        <v>Ссылка</v>
      </c>
      <c r="AD1010" s="167">
        <v>11669</v>
      </c>
    </row>
    <row r="1011" spans="1:30" s="161" customFormat="1" ht="39.950000000000003" hidden="1" customHeight="1" outlineLevel="1" x14ac:dyDescent="0.25">
      <c r="A1011" s="150"/>
      <c r="B1011" s="21" t="s">
        <v>102</v>
      </c>
      <c r="C1011" s="159" t="s">
        <v>127</v>
      </c>
      <c r="D1011" s="161">
        <v>15300</v>
      </c>
      <c r="E1011" s="161">
        <v>90</v>
      </c>
      <c r="F1011" s="161">
        <v>170</v>
      </c>
      <c r="G1011" s="161" t="s">
        <v>128</v>
      </c>
      <c r="H1011" s="161" t="s">
        <v>63</v>
      </c>
      <c r="I1011" s="161">
        <v>67</v>
      </c>
      <c r="J1011" s="161" t="s">
        <v>105</v>
      </c>
      <c r="K1011" s="21" t="s">
        <v>106</v>
      </c>
      <c r="L1011" s="161" t="s">
        <v>3380</v>
      </c>
      <c r="M1011" s="21" t="s">
        <v>107</v>
      </c>
      <c r="N1011" s="161" t="s">
        <v>67</v>
      </c>
      <c r="O1011" s="21" t="s">
        <v>68</v>
      </c>
      <c r="P1011" s="161" t="s">
        <v>109</v>
      </c>
      <c r="Q1011" s="21" t="s">
        <v>70</v>
      </c>
      <c r="R1011" s="161">
        <v>70</v>
      </c>
      <c r="S1011" s="161" t="s">
        <v>129</v>
      </c>
      <c r="T1011" s="161" t="s">
        <v>111</v>
      </c>
      <c r="U1011" s="161" t="s">
        <v>73</v>
      </c>
      <c r="V1011" s="21" t="s">
        <v>74</v>
      </c>
      <c r="W1011" s="21" t="s">
        <v>112</v>
      </c>
      <c r="X1011" s="161" t="s">
        <v>130</v>
      </c>
      <c r="Y1011" s="161">
        <v>0.01</v>
      </c>
      <c r="Z1011" s="161">
        <v>2.4</v>
      </c>
      <c r="AA1011" s="161" t="s">
        <v>77</v>
      </c>
      <c r="AB1011" s="161" t="s">
        <v>114</v>
      </c>
      <c r="AC1011" s="266" t="str">
        <f>HYPERLINK("https://gcsvt.ru/svetodiodnyie-svetilniki/svt-str-bm-90w-45x140/","Ссылка")</f>
        <v>Ссылка</v>
      </c>
      <c r="AD1011" s="167">
        <v>17136</v>
      </c>
    </row>
    <row r="1012" spans="1:30" s="161" customFormat="1" ht="39.950000000000003" hidden="1" customHeight="1" outlineLevel="1" x14ac:dyDescent="0.25">
      <c r="A1012" s="150"/>
      <c r="B1012" s="21" t="s">
        <v>102</v>
      </c>
      <c r="C1012" s="159" t="s">
        <v>131</v>
      </c>
      <c r="D1012" s="161">
        <v>15300</v>
      </c>
      <c r="E1012" s="161">
        <v>90</v>
      </c>
      <c r="F1012" s="161">
        <v>170</v>
      </c>
      <c r="G1012" s="161" t="s">
        <v>132</v>
      </c>
      <c r="H1012" s="161" t="s">
        <v>81</v>
      </c>
      <c r="I1012" s="161">
        <v>67</v>
      </c>
      <c r="J1012" s="161" t="s">
        <v>105</v>
      </c>
      <c r="K1012" s="21" t="s">
        <v>106</v>
      </c>
      <c r="L1012" s="161" t="s">
        <v>3380</v>
      </c>
      <c r="M1012" s="21" t="s">
        <v>107</v>
      </c>
      <c r="N1012" s="161" t="s">
        <v>67</v>
      </c>
      <c r="O1012" s="21" t="s">
        <v>68</v>
      </c>
      <c r="P1012" s="161" t="s">
        <v>109</v>
      </c>
      <c r="Q1012" s="21" t="s">
        <v>70</v>
      </c>
      <c r="R1012" s="161">
        <v>70</v>
      </c>
      <c r="S1012" s="161" t="s">
        <v>129</v>
      </c>
      <c r="T1012" s="161" t="s">
        <v>111</v>
      </c>
      <c r="U1012" s="161" t="s">
        <v>73</v>
      </c>
      <c r="V1012" s="21" t="s">
        <v>74</v>
      </c>
      <c r="W1012" s="21" t="s">
        <v>112</v>
      </c>
      <c r="X1012" s="161" t="s">
        <v>130</v>
      </c>
      <c r="Y1012" s="161">
        <v>0.01</v>
      </c>
      <c r="Z1012" s="161">
        <v>2.4</v>
      </c>
      <c r="AA1012" s="161" t="s">
        <v>77</v>
      </c>
      <c r="AB1012" s="161" t="s">
        <v>114</v>
      </c>
      <c r="AC1012" s="266" t="str">
        <f>HYPERLINK("https://gcsvt.ru/svetodiodnyie-svetilniki/svt-str-bm-90w-30/","Ссылка")</f>
        <v>Ссылка</v>
      </c>
      <c r="AD1012" s="167">
        <v>17136</v>
      </c>
    </row>
    <row r="1013" spans="1:30" s="161" customFormat="1" ht="39.950000000000003" hidden="1" customHeight="1" outlineLevel="1" x14ac:dyDescent="0.25">
      <c r="A1013" s="150"/>
      <c r="B1013" s="21" t="s">
        <v>102</v>
      </c>
      <c r="C1013" s="159" t="s">
        <v>133</v>
      </c>
      <c r="D1013" s="161">
        <v>15300</v>
      </c>
      <c r="E1013" s="161">
        <v>90</v>
      </c>
      <c r="F1013" s="161">
        <v>170</v>
      </c>
      <c r="G1013" s="161" t="s">
        <v>134</v>
      </c>
      <c r="H1013" s="161" t="s">
        <v>84</v>
      </c>
      <c r="I1013" s="161">
        <v>67</v>
      </c>
      <c r="J1013" s="161" t="s">
        <v>105</v>
      </c>
      <c r="K1013" s="21" t="s">
        <v>106</v>
      </c>
      <c r="L1013" s="161" t="s">
        <v>3380</v>
      </c>
      <c r="M1013" s="21" t="s">
        <v>107</v>
      </c>
      <c r="N1013" s="161" t="s">
        <v>67</v>
      </c>
      <c r="O1013" s="21" t="s">
        <v>68</v>
      </c>
      <c r="P1013" s="161" t="s">
        <v>109</v>
      </c>
      <c r="Q1013" s="21" t="s">
        <v>70</v>
      </c>
      <c r="R1013" s="161">
        <v>70</v>
      </c>
      <c r="S1013" s="161" t="s">
        <v>2836</v>
      </c>
      <c r="T1013" s="161" t="s">
        <v>111</v>
      </c>
      <c r="U1013" s="161" t="s">
        <v>73</v>
      </c>
      <c r="V1013" s="21" t="s">
        <v>74</v>
      </c>
      <c r="W1013" s="21" t="s">
        <v>112</v>
      </c>
      <c r="X1013" s="161" t="s">
        <v>130</v>
      </c>
      <c r="Y1013" s="161">
        <v>0.01</v>
      </c>
      <c r="Z1013" s="161">
        <v>2.4</v>
      </c>
      <c r="AA1013" s="161" t="s">
        <v>77</v>
      </c>
      <c r="AB1013" s="161" t="s">
        <v>114</v>
      </c>
      <c r="AC1013" s="266" t="str">
        <f>HYPERLINK("https://gcsvt.ru/svetodiodnyie-svetilniki/svt-str-bm-90w-60/","Ссылка")</f>
        <v>Ссылка</v>
      </c>
      <c r="AD1013" s="167">
        <v>17136</v>
      </c>
    </row>
    <row r="1014" spans="1:30" s="161" customFormat="1" ht="39.950000000000003" hidden="1" customHeight="1" outlineLevel="1" x14ac:dyDescent="0.25">
      <c r="A1014" s="150"/>
      <c r="B1014" s="21" t="s">
        <v>102</v>
      </c>
      <c r="C1014" s="159" t="s">
        <v>3159</v>
      </c>
      <c r="D1014" s="161">
        <v>15300</v>
      </c>
      <c r="E1014" s="161">
        <v>90</v>
      </c>
      <c r="F1014" s="161">
        <v>170</v>
      </c>
      <c r="G1014" s="161" t="s">
        <v>3160</v>
      </c>
      <c r="H1014" s="161" t="s">
        <v>1617</v>
      </c>
      <c r="I1014" s="161">
        <v>67</v>
      </c>
      <c r="J1014" s="161" t="s">
        <v>105</v>
      </c>
      <c r="K1014" s="21" t="s">
        <v>106</v>
      </c>
      <c r="L1014" s="161" t="s">
        <v>3380</v>
      </c>
      <c r="M1014" s="21" t="s">
        <v>107</v>
      </c>
      <c r="N1014" s="161" t="s">
        <v>67</v>
      </c>
      <c r="O1014" s="21" t="s">
        <v>68</v>
      </c>
      <c r="P1014" s="161" t="s">
        <v>109</v>
      </c>
      <c r="Q1014" s="21" t="s">
        <v>70</v>
      </c>
      <c r="R1014" s="161">
        <v>70</v>
      </c>
      <c r="S1014" s="161" t="s">
        <v>2836</v>
      </c>
      <c r="T1014" s="161" t="s">
        <v>111</v>
      </c>
      <c r="U1014" s="161" t="s">
        <v>73</v>
      </c>
      <c r="V1014" s="21" t="s">
        <v>74</v>
      </c>
      <c r="W1014" s="21" t="s">
        <v>112</v>
      </c>
      <c r="X1014" s="161" t="s">
        <v>130</v>
      </c>
      <c r="Y1014" s="161">
        <v>0.01</v>
      </c>
      <c r="Z1014" s="161">
        <v>2.4</v>
      </c>
      <c r="AA1014" s="161" t="s">
        <v>77</v>
      </c>
      <c r="AB1014" s="161" t="s">
        <v>114</v>
      </c>
      <c r="AC1014" s="266" t="str">
        <f>HYPERLINK("https://gcsvt.ru/svetodiodnyie-svetilniki/svt-str-bm-90w-90/","Ссылка")</f>
        <v>Ссылка</v>
      </c>
      <c r="AD1014" s="167">
        <v>17136</v>
      </c>
    </row>
    <row r="1015" spans="1:30" s="161" customFormat="1" ht="39.950000000000003" hidden="1" customHeight="1" outlineLevel="1" x14ac:dyDescent="0.25">
      <c r="A1015" s="150"/>
      <c r="B1015" s="21" t="s">
        <v>102</v>
      </c>
      <c r="C1015" s="159" t="s">
        <v>2841</v>
      </c>
      <c r="D1015" s="161">
        <v>20400</v>
      </c>
      <c r="E1015" s="161">
        <v>120</v>
      </c>
      <c r="F1015" s="161">
        <v>170</v>
      </c>
      <c r="G1015" s="161" t="s">
        <v>2846</v>
      </c>
      <c r="H1015" s="161" t="s">
        <v>63</v>
      </c>
      <c r="I1015" s="161">
        <v>67</v>
      </c>
      <c r="J1015" s="161" t="s">
        <v>105</v>
      </c>
      <c r="K1015" s="21" t="s">
        <v>106</v>
      </c>
      <c r="L1015" s="161" t="s">
        <v>3380</v>
      </c>
      <c r="M1015" s="21" t="s">
        <v>107</v>
      </c>
      <c r="N1015" s="161" t="s">
        <v>67</v>
      </c>
      <c r="O1015" s="21" t="s">
        <v>68</v>
      </c>
      <c r="P1015" s="161" t="s">
        <v>109</v>
      </c>
      <c r="Q1015" s="21" t="s">
        <v>70</v>
      </c>
      <c r="R1015" s="161">
        <v>70</v>
      </c>
      <c r="S1015" s="161" t="s">
        <v>2836</v>
      </c>
      <c r="T1015" s="161" t="s">
        <v>111</v>
      </c>
      <c r="U1015" s="161" t="s">
        <v>73</v>
      </c>
      <c r="V1015" s="21" t="s">
        <v>74</v>
      </c>
      <c r="W1015" s="21" t="s">
        <v>112</v>
      </c>
      <c r="X1015" s="161" t="s">
        <v>2838</v>
      </c>
      <c r="Y1015" s="161">
        <v>3.5000000000000003E-2</v>
      </c>
      <c r="Z1015" s="161">
        <v>4.9000000000000004</v>
      </c>
      <c r="AA1015" s="161" t="s">
        <v>77</v>
      </c>
      <c r="AB1015" s="161" t="s">
        <v>114</v>
      </c>
      <c r="AC1015" s="266" t="str">
        <f>HYPERLINK("https://gcsvt.ru/svetodiodnyie-svetilniki/svt-str-bm-60w-45x140-duo/","Ссылка")</f>
        <v>Ссылка</v>
      </c>
      <c r="AD1015" s="167">
        <v>24701</v>
      </c>
    </row>
    <row r="1016" spans="1:30" s="161" customFormat="1" ht="39.950000000000003" hidden="1" customHeight="1" outlineLevel="1" x14ac:dyDescent="0.25">
      <c r="A1016" s="150"/>
      <c r="B1016" s="21" t="s">
        <v>102</v>
      </c>
      <c r="C1016" s="188" t="s">
        <v>2840</v>
      </c>
      <c r="D1016" s="161">
        <v>20400</v>
      </c>
      <c r="E1016" s="161">
        <v>120</v>
      </c>
      <c r="F1016" s="161">
        <v>170</v>
      </c>
      <c r="G1016" s="161" t="s">
        <v>2847</v>
      </c>
      <c r="H1016" s="161" t="s">
        <v>81</v>
      </c>
      <c r="I1016" s="161">
        <v>67</v>
      </c>
      <c r="J1016" s="161" t="s">
        <v>105</v>
      </c>
      <c r="K1016" s="21" t="s">
        <v>106</v>
      </c>
      <c r="L1016" s="161" t="s">
        <v>3380</v>
      </c>
      <c r="M1016" s="21" t="s">
        <v>107</v>
      </c>
      <c r="N1016" s="161" t="s">
        <v>67</v>
      </c>
      <c r="O1016" s="21" t="s">
        <v>68</v>
      </c>
      <c r="P1016" s="161" t="s">
        <v>109</v>
      </c>
      <c r="Q1016" s="21" t="s">
        <v>70</v>
      </c>
      <c r="R1016" s="161">
        <v>70</v>
      </c>
      <c r="S1016" s="161" t="s">
        <v>2836</v>
      </c>
      <c r="T1016" s="161" t="s">
        <v>111</v>
      </c>
      <c r="U1016" s="161" t="s">
        <v>73</v>
      </c>
      <c r="V1016" s="21" t="s">
        <v>74</v>
      </c>
      <c r="W1016" s="21" t="s">
        <v>112</v>
      </c>
      <c r="X1016" s="161" t="s">
        <v>2838</v>
      </c>
      <c r="Y1016" s="161">
        <v>3.5000000000000003E-2</v>
      </c>
      <c r="Z1016" s="161">
        <v>4.9000000000000004</v>
      </c>
      <c r="AA1016" s="161" t="s">
        <v>77</v>
      </c>
      <c r="AB1016" s="161" t="s">
        <v>114</v>
      </c>
      <c r="AC1016" s="266" t="str">
        <f>HYPERLINK("https://gcsvt.ru/svetodiodnyie-svetilniki/svt-str-bm-60w-30-duo/","Ссылка")</f>
        <v>Ссылка</v>
      </c>
      <c r="AD1016" s="167">
        <v>24701</v>
      </c>
    </row>
    <row r="1017" spans="1:30" s="161" customFormat="1" ht="39.950000000000003" hidden="1" customHeight="1" outlineLevel="1" x14ac:dyDescent="0.25">
      <c r="A1017" s="150"/>
      <c r="B1017" s="21" t="s">
        <v>102</v>
      </c>
      <c r="C1017" s="159" t="s">
        <v>2839</v>
      </c>
      <c r="D1017" s="161">
        <v>20400</v>
      </c>
      <c r="E1017" s="161">
        <v>120</v>
      </c>
      <c r="F1017" s="161">
        <v>170</v>
      </c>
      <c r="G1017" s="161" t="s">
        <v>2848</v>
      </c>
      <c r="H1017" s="161" t="s">
        <v>84</v>
      </c>
      <c r="I1017" s="161">
        <v>67</v>
      </c>
      <c r="J1017" s="161" t="s">
        <v>105</v>
      </c>
      <c r="K1017" s="21" t="s">
        <v>106</v>
      </c>
      <c r="L1017" s="161" t="s">
        <v>3380</v>
      </c>
      <c r="M1017" s="21" t="s">
        <v>107</v>
      </c>
      <c r="N1017" s="161" t="s">
        <v>67</v>
      </c>
      <c r="O1017" s="21" t="s">
        <v>68</v>
      </c>
      <c r="P1017" s="161" t="s">
        <v>109</v>
      </c>
      <c r="Q1017" s="21" t="s">
        <v>70</v>
      </c>
      <c r="R1017" s="161">
        <v>70</v>
      </c>
      <c r="S1017" s="161" t="s">
        <v>2836</v>
      </c>
      <c r="T1017" s="161" t="s">
        <v>111</v>
      </c>
      <c r="U1017" s="161" t="s">
        <v>73</v>
      </c>
      <c r="V1017" s="21" t="s">
        <v>74</v>
      </c>
      <c r="W1017" s="21" t="s">
        <v>112</v>
      </c>
      <c r="X1017" s="161" t="s">
        <v>2838</v>
      </c>
      <c r="Y1017" s="161">
        <v>3.5000000000000003E-2</v>
      </c>
      <c r="Z1017" s="161">
        <v>4.9000000000000004</v>
      </c>
      <c r="AA1017" s="161" t="s">
        <v>77</v>
      </c>
      <c r="AB1017" s="161" t="s">
        <v>114</v>
      </c>
      <c r="AC1017" s="266" t="str">
        <f>HYPERLINK("https://gcsvt.ru/svetodiodnyie-svetilniki/svt-str-bm-60w-60-duo/","Ссылка")</f>
        <v>Ссылка</v>
      </c>
      <c r="AD1017" s="167">
        <v>24701</v>
      </c>
    </row>
    <row r="1018" spans="1:30" s="161" customFormat="1" ht="39.950000000000003" hidden="1" customHeight="1" outlineLevel="1" x14ac:dyDescent="0.25">
      <c r="A1018" s="150"/>
      <c r="B1018" s="21" t="s">
        <v>102</v>
      </c>
      <c r="C1018" s="188" t="s">
        <v>3161</v>
      </c>
      <c r="D1018" s="161">
        <v>20400</v>
      </c>
      <c r="E1018" s="161">
        <v>120</v>
      </c>
      <c r="F1018" s="161">
        <v>170</v>
      </c>
      <c r="G1018" s="161" t="s">
        <v>3162</v>
      </c>
      <c r="H1018" s="161" t="s">
        <v>1617</v>
      </c>
      <c r="I1018" s="161">
        <v>67</v>
      </c>
      <c r="J1018" s="161" t="s">
        <v>105</v>
      </c>
      <c r="K1018" s="21" t="s">
        <v>106</v>
      </c>
      <c r="L1018" s="161" t="s">
        <v>3380</v>
      </c>
      <c r="M1018" s="21" t="s">
        <v>107</v>
      </c>
      <c r="N1018" s="161" t="s">
        <v>67</v>
      </c>
      <c r="O1018" s="21" t="s">
        <v>68</v>
      </c>
      <c r="P1018" s="161" t="s">
        <v>109</v>
      </c>
      <c r="Q1018" s="21" t="s">
        <v>70</v>
      </c>
      <c r="R1018" s="161">
        <v>70</v>
      </c>
      <c r="S1018" s="161" t="s">
        <v>2836</v>
      </c>
      <c r="T1018" s="161" t="s">
        <v>111</v>
      </c>
      <c r="U1018" s="161" t="s">
        <v>73</v>
      </c>
      <c r="V1018" s="21" t="s">
        <v>74</v>
      </c>
      <c r="W1018" s="21" t="s">
        <v>112</v>
      </c>
      <c r="X1018" s="161" t="s">
        <v>2838</v>
      </c>
      <c r="Y1018" s="161">
        <v>3.5000000000000003E-2</v>
      </c>
      <c r="Z1018" s="161">
        <v>4.9000000000000004</v>
      </c>
      <c r="AA1018" s="161" t="s">
        <v>77</v>
      </c>
      <c r="AB1018" s="161" t="s">
        <v>114</v>
      </c>
      <c r="AC1018" s="266" t="str">
        <f>HYPERLINK("https://gcsvt.ru/svetodiodnyie-svetilniki/svt-str-bm-60w-90-duo/","Ссылка")</f>
        <v>Ссылка</v>
      </c>
      <c r="AD1018" s="167">
        <v>24701</v>
      </c>
    </row>
    <row r="1019" spans="1:30" s="161" customFormat="1" ht="39.950000000000003" hidden="1" customHeight="1" outlineLevel="1" x14ac:dyDescent="0.25">
      <c r="A1019" s="150"/>
      <c r="B1019" s="21" t="s">
        <v>102</v>
      </c>
      <c r="C1019" s="159" t="s">
        <v>2842</v>
      </c>
      <c r="D1019" s="161">
        <v>30600</v>
      </c>
      <c r="E1019" s="161">
        <v>180</v>
      </c>
      <c r="F1019" s="161">
        <v>170</v>
      </c>
      <c r="G1019" s="161" t="s">
        <v>2849</v>
      </c>
      <c r="H1019" s="161" t="s">
        <v>63</v>
      </c>
      <c r="I1019" s="161">
        <v>67</v>
      </c>
      <c r="J1019" s="161" t="s">
        <v>105</v>
      </c>
      <c r="K1019" s="21" t="s">
        <v>106</v>
      </c>
      <c r="L1019" s="161" t="s">
        <v>3380</v>
      </c>
      <c r="M1019" s="21" t="s">
        <v>107</v>
      </c>
      <c r="N1019" s="161" t="s">
        <v>67</v>
      </c>
      <c r="O1019" s="21" t="s">
        <v>68</v>
      </c>
      <c r="P1019" s="161" t="s">
        <v>109</v>
      </c>
      <c r="Q1019" s="21" t="s">
        <v>70</v>
      </c>
      <c r="R1019" s="161">
        <v>70</v>
      </c>
      <c r="S1019" s="161" t="s">
        <v>2845</v>
      </c>
      <c r="T1019" s="161" t="s">
        <v>111</v>
      </c>
      <c r="U1019" s="161" t="s">
        <v>73</v>
      </c>
      <c r="V1019" s="21" t="s">
        <v>74</v>
      </c>
      <c r="W1019" s="21" t="s">
        <v>112</v>
      </c>
      <c r="X1019" s="161" t="s">
        <v>2837</v>
      </c>
      <c r="Y1019" s="161">
        <v>3.4000000000000002E-2</v>
      </c>
      <c r="Z1019" s="161">
        <v>6.1</v>
      </c>
      <c r="AA1019" s="161" t="s">
        <v>77</v>
      </c>
      <c r="AB1019" s="161" t="s">
        <v>114</v>
      </c>
      <c r="AC1019" s="266" t="str">
        <f>HYPERLINK("https://gcsvt.ru/svetodiodnyie-svetilniki/svt-str-bm-90w-45x140-duo/","Ссылка")</f>
        <v>Ссылка</v>
      </c>
      <c r="AD1019" s="167">
        <v>35972</v>
      </c>
    </row>
    <row r="1020" spans="1:30" s="161" customFormat="1" ht="39.950000000000003" hidden="1" customHeight="1" outlineLevel="1" x14ac:dyDescent="0.25">
      <c r="A1020" s="150"/>
      <c r="B1020" s="21" t="s">
        <v>102</v>
      </c>
      <c r="C1020" s="188" t="s">
        <v>2843</v>
      </c>
      <c r="D1020" s="161">
        <v>30600</v>
      </c>
      <c r="E1020" s="161">
        <v>180</v>
      </c>
      <c r="F1020" s="161">
        <v>170</v>
      </c>
      <c r="G1020" s="161" t="s">
        <v>2850</v>
      </c>
      <c r="H1020" s="161" t="s">
        <v>81</v>
      </c>
      <c r="I1020" s="161">
        <v>67</v>
      </c>
      <c r="J1020" s="161" t="s">
        <v>105</v>
      </c>
      <c r="K1020" s="21" t="s">
        <v>106</v>
      </c>
      <c r="L1020" s="161" t="s">
        <v>3380</v>
      </c>
      <c r="M1020" s="21" t="s">
        <v>107</v>
      </c>
      <c r="N1020" s="161" t="s">
        <v>67</v>
      </c>
      <c r="O1020" s="21" t="s">
        <v>68</v>
      </c>
      <c r="P1020" s="161" t="s">
        <v>109</v>
      </c>
      <c r="Q1020" s="21" t="s">
        <v>70</v>
      </c>
      <c r="R1020" s="161">
        <v>70</v>
      </c>
      <c r="S1020" s="161" t="s">
        <v>2845</v>
      </c>
      <c r="T1020" s="161" t="s">
        <v>111</v>
      </c>
      <c r="U1020" s="161" t="s">
        <v>73</v>
      </c>
      <c r="V1020" s="21" t="s">
        <v>74</v>
      </c>
      <c r="W1020" s="21" t="s">
        <v>112</v>
      </c>
      <c r="X1020" s="161" t="s">
        <v>2837</v>
      </c>
      <c r="Y1020" s="161">
        <v>3.4000000000000002E-2</v>
      </c>
      <c r="Z1020" s="161">
        <v>6.1</v>
      </c>
      <c r="AA1020" s="161" t="s">
        <v>77</v>
      </c>
      <c r="AB1020" s="161" t="s">
        <v>114</v>
      </c>
      <c r="AC1020" s="266" t="str">
        <f>HYPERLINK("https://gcsvt.ru/svetodiodnyie-svetilniki/svt-str-bm-90w-30-duo/","Ссылка")</f>
        <v>Ссылка</v>
      </c>
      <c r="AD1020" s="167">
        <v>35972</v>
      </c>
    </row>
    <row r="1021" spans="1:30" s="161" customFormat="1" ht="39.950000000000003" hidden="1" customHeight="1" outlineLevel="1" x14ac:dyDescent="0.25">
      <c r="A1021" s="150"/>
      <c r="B1021" s="21" t="s">
        <v>102</v>
      </c>
      <c r="C1021" s="159" t="s">
        <v>2844</v>
      </c>
      <c r="D1021" s="161">
        <v>30600</v>
      </c>
      <c r="E1021" s="161">
        <v>180</v>
      </c>
      <c r="F1021" s="161">
        <v>170</v>
      </c>
      <c r="G1021" s="161" t="s">
        <v>2851</v>
      </c>
      <c r="H1021" s="161" t="s">
        <v>84</v>
      </c>
      <c r="I1021" s="161">
        <v>67</v>
      </c>
      <c r="J1021" s="161" t="s">
        <v>105</v>
      </c>
      <c r="K1021" s="21" t="s">
        <v>106</v>
      </c>
      <c r="L1021" s="161" t="s">
        <v>3380</v>
      </c>
      <c r="M1021" s="21" t="s">
        <v>107</v>
      </c>
      <c r="N1021" s="161" t="s">
        <v>67</v>
      </c>
      <c r="O1021" s="21" t="s">
        <v>68</v>
      </c>
      <c r="P1021" s="161" t="s">
        <v>109</v>
      </c>
      <c r="Q1021" s="21" t="s">
        <v>70</v>
      </c>
      <c r="R1021" s="161">
        <v>70</v>
      </c>
      <c r="S1021" s="161" t="s">
        <v>2845</v>
      </c>
      <c r="T1021" s="161" t="s">
        <v>111</v>
      </c>
      <c r="U1021" s="161" t="s">
        <v>73</v>
      </c>
      <c r="V1021" s="21" t="s">
        <v>74</v>
      </c>
      <c r="W1021" s="21" t="s">
        <v>112</v>
      </c>
      <c r="X1021" s="161" t="s">
        <v>2837</v>
      </c>
      <c r="Y1021" s="161">
        <v>3.4000000000000002E-2</v>
      </c>
      <c r="Z1021" s="161">
        <v>6.1</v>
      </c>
      <c r="AA1021" s="161" t="s">
        <v>77</v>
      </c>
      <c r="AB1021" s="161" t="s">
        <v>114</v>
      </c>
      <c r="AC1021" s="266" t="str">
        <f>HYPERLINK("https://gcsvt.ru/svetodiodnyie-svetilniki/svt-str-bm-90w-60-duo/","Ссылка")</f>
        <v>Ссылка</v>
      </c>
      <c r="AD1021" s="167">
        <v>35972</v>
      </c>
    </row>
    <row r="1022" spans="1:30" s="161" customFormat="1" ht="39.950000000000003" hidden="1" customHeight="1" outlineLevel="1" x14ac:dyDescent="0.25">
      <c r="A1022" s="150"/>
      <c r="B1022" s="21" t="s">
        <v>102</v>
      </c>
      <c r="C1022" s="188" t="s">
        <v>3368</v>
      </c>
      <c r="D1022" s="161">
        <v>30600</v>
      </c>
      <c r="E1022" s="161">
        <v>180</v>
      </c>
      <c r="F1022" s="161">
        <v>170</v>
      </c>
      <c r="G1022" s="161" t="s">
        <v>3369</v>
      </c>
      <c r="H1022" s="161" t="s">
        <v>1617</v>
      </c>
      <c r="I1022" s="161">
        <v>67</v>
      </c>
      <c r="J1022" s="161" t="s">
        <v>105</v>
      </c>
      <c r="K1022" s="21" t="s">
        <v>106</v>
      </c>
      <c r="L1022" s="161" t="s">
        <v>3380</v>
      </c>
      <c r="M1022" s="21" t="s">
        <v>107</v>
      </c>
      <c r="N1022" s="161" t="s">
        <v>67</v>
      </c>
      <c r="O1022" s="21" t="s">
        <v>68</v>
      </c>
      <c r="P1022" s="161" t="s">
        <v>109</v>
      </c>
      <c r="Q1022" s="21" t="s">
        <v>70</v>
      </c>
      <c r="R1022" s="161">
        <v>70</v>
      </c>
      <c r="S1022" s="161" t="s">
        <v>2845</v>
      </c>
      <c r="T1022" s="161" t="s">
        <v>111</v>
      </c>
      <c r="U1022" s="161" t="s">
        <v>73</v>
      </c>
      <c r="V1022" s="21" t="s">
        <v>74</v>
      </c>
      <c r="W1022" s="21" t="s">
        <v>112</v>
      </c>
      <c r="X1022" s="161" t="s">
        <v>2837</v>
      </c>
      <c r="Y1022" s="161">
        <v>3.4000000000000002E-2</v>
      </c>
      <c r="Z1022" s="161">
        <v>6.1</v>
      </c>
      <c r="AA1022" s="161" t="s">
        <v>77</v>
      </c>
      <c r="AB1022" s="161" t="s">
        <v>114</v>
      </c>
      <c r="AC1022" s="266" t="str">
        <f>HYPERLINK("https://gcsvt.ru/svetodiodnyie-svetilniki/svt-str-bm-90w-90-duo/","Ссылка")</f>
        <v>Ссылка</v>
      </c>
      <c r="AD1022" s="167">
        <v>35972</v>
      </c>
    </row>
    <row r="1023" spans="1:30" s="161" customFormat="1" ht="39.950000000000003" hidden="1" customHeight="1" outlineLevel="1" x14ac:dyDescent="0.25">
      <c r="A1023" s="150"/>
      <c r="B1023" s="21" t="s">
        <v>102</v>
      </c>
      <c r="C1023" s="159" t="s">
        <v>3163</v>
      </c>
      <c r="D1023" s="161">
        <v>21870</v>
      </c>
      <c r="E1023" s="161">
        <v>135</v>
      </c>
      <c r="F1023" s="161">
        <v>162</v>
      </c>
      <c r="G1023" s="161" t="s">
        <v>3164</v>
      </c>
      <c r="H1023" s="161" t="s">
        <v>81</v>
      </c>
      <c r="I1023" s="161">
        <v>67</v>
      </c>
      <c r="J1023" s="161" t="s">
        <v>105</v>
      </c>
      <c r="K1023" s="21" t="s">
        <v>106</v>
      </c>
      <c r="L1023" s="161" t="s">
        <v>3380</v>
      </c>
      <c r="M1023" s="21" t="s">
        <v>107</v>
      </c>
      <c r="N1023" s="161" t="s">
        <v>67</v>
      </c>
      <c r="O1023" s="21" t="s">
        <v>68</v>
      </c>
      <c r="P1023" s="161" t="s">
        <v>109</v>
      </c>
      <c r="Q1023" s="21" t="s">
        <v>70</v>
      </c>
      <c r="R1023" s="161">
        <v>70</v>
      </c>
      <c r="S1023" s="161" t="s">
        <v>129</v>
      </c>
      <c r="T1023" s="161" t="s">
        <v>3096</v>
      </c>
      <c r="U1023" s="161" t="s">
        <v>73</v>
      </c>
      <c r="V1023" s="21" t="s">
        <v>74</v>
      </c>
      <c r="W1023" s="21" t="s">
        <v>75</v>
      </c>
      <c r="X1023" s="161" t="s">
        <v>3186</v>
      </c>
      <c r="Y1023" s="161">
        <v>0.03</v>
      </c>
      <c r="Z1023" s="161">
        <v>4.8</v>
      </c>
      <c r="AA1023" s="161" t="s">
        <v>77</v>
      </c>
      <c r="AB1023" s="161" t="s">
        <v>114</v>
      </c>
      <c r="AC1023" s="266" t="str">
        <f>HYPERLINK("https://gcsvt.ru/svetodiodnyie-svetilniki/svt-str-bm-45w-30-trio/","Ссылка")</f>
        <v>Ссылка</v>
      </c>
      <c r="AD1023" s="167">
        <v>27336</v>
      </c>
    </row>
    <row r="1024" spans="1:30" s="161" customFormat="1" ht="39.950000000000003" hidden="1" customHeight="1" outlineLevel="1" x14ac:dyDescent="0.25">
      <c r="A1024" s="150"/>
      <c r="B1024" s="21" t="s">
        <v>102</v>
      </c>
      <c r="C1024" s="188" t="s">
        <v>3165</v>
      </c>
      <c r="D1024" s="161">
        <v>21870</v>
      </c>
      <c r="E1024" s="161">
        <v>135</v>
      </c>
      <c r="F1024" s="161">
        <v>162</v>
      </c>
      <c r="G1024" s="161" t="s">
        <v>3166</v>
      </c>
      <c r="H1024" s="161" t="s">
        <v>84</v>
      </c>
      <c r="I1024" s="161">
        <v>67</v>
      </c>
      <c r="J1024" s="161" t="s">
        <v>105</v>
      </c>
      <c r="K1024" s="21" t="s">
        <v>106</v>
      </c>
      <c r="L1024" s="161" t="s">
        <v>3380</v>
      </c>
      <c r="M1024" s="21" t="s">
        <v>107</v>
      </c>
      <c r="N1024" s="161" t="s">
        <v>67</v>
      </c>
      <c r="O1024" s="21" t="s">
        <v>68</v>
      </c>
      <c r="P1024" s="161" t="s">
        <v>109</v>
      </c>
      <c r="Q1024" s="21" t="s">
        <v>70</v>
      </c>
      <c r="R1024" s="161">
        <v>70</v>
      </c>
      <c r="S1024" s="161" t="s">
        <v>129</v>
      </c>
      <c r="T1024" s="161" t="s">
        <v>3096</v>
      </c>
      <c r="U1024" s="161" t="s">
        <v>73</v>
      </c>
      <c r="V1024" s="21" t="s">
        <v>74</v>
      </c>
      <c r="W1024" s="21" t="s">
        <v>75</v>
      </c>
      <c r="X1024" s="161" t="s">
        <v>3186</v>
      </c>
      <c r="Y1024" s="161">
        <v>0.03</v>
      </c>
      <c r="Z1024" s="161">
        <v>4.8</v>
      </c>
      <c r="AA1024" s="161" t="s">
        <v>77</v>
      </c>
      <c r="AB1024" s="161" t="s">
        <v>114</v>
      </c>
      <c r="AC1024" s="266" t="str">
        <f>HYPERLINK("https://gcsvt.ru/svetodiodnyie-svetilniki/svt-str-bm-45w-60-trio/","Ссылка")</f>
        <v>Ссылка</v>
      </c>
      <c r="AD1024" s="167">
        <v>27336</v>
      </c>
    </row>
    <row r="1025" spans="1:30" s="161" customFormat="1" ht="39.950000000000003" hidden="1" customHeight="1" outlineLevel="1" x14ac:dyDescent="0.25">
      <c r="A1025" s="150"/>
      <c r="B1025" s="21" t="s">
        <v>102</v>
      </c>
      <c r="C1025" s="159" t="s">
        <v>3167</v>
      </c>
      <c r="D1025" s="161">
        <v>21870</v>
      </c>
      <c r="E1025" s="161">
        <v>135</v>
      </c>
      <c r="F1025" s="161">
        <v>162</v>
      </c>
      <c r="G1025" s="161" t="s">
        <v>3168</v>
      </c>
      <c r="H1025" s="161" t="s">
        <v>1617</v>
      </c>
      <c r="I1025" s="161">
        <v>67</v>
      </c>
      <c r="J1025" s="161" t="s">
        <v>105</v>
      </c>
      <c r="K1025" s="21" t="s">
        <v>106</v>
      </c>
      <c r="L1025" s="161" t="s">
        <v>3380</v>
      </c>
      <c r="M1025" s="21" t="s">
        <v>107</v>
      </c>
      <c r="N1025" s="161" t="s">
        <v>67</v>
      </c>
      <c r="O1025" s="21" t="s">
        <v>68</v>
      </c>
      <c r="P1025" s="161" t="s">
        <v>109</v>
      </c>
      <c r="Q1025" s="21" t="s">
        <v>70</v>
      </c>
      <c r="R1025" s="161">
        <v>70</v>
      </c>
      <c r="S1025" s="161" t="s">
        <v>129</v>
      </c>
      <c r="T1025" s="161" t="s">
        <v>3096</v>
      </c>
      <c r="U1025" s="161" t="s">
        <v>73</v>
      </c>
      <c r="V1025" s="21" t="s">
        <v>74</v>
      </c>
      <c r="W1025" s="21" t="s">
        <v>75</v>
      </c>
      <c r="X1025" s="161" t="s">
        <v>3186</v>
      </c>
      <c r="Y1025" s="161">
        <v>0.03</v>
      </c>
      <c r="Z1025" s="161">
        <v>4.8</v>
      </c>
      <c r="AA1025" s="161" t="s">
        <v>77</v>
      </c>
      <c r="AB1025" s="161" t="s">
        <v>114</v>
      </c>
      <c r="AC1025" s="266" t="str">
        <f>HYPERLINK("https://gcsvt.ru/svetodiodnyie-svetilniki/svt-str-bm-45w-90-trio/","Ссылка")</f>
        <v>Ссылка</v>
      </c>
      <c r="AD1025" s="167">
        <v>27336</v>
      </c>
    </row>
    <row r="1026" spans="1:30" s="161" customFormat="1" ht="39.950000000000003" hidden="1" customHeight="1" outlineLevel="1" x14ac:dyDescent="0.25">
      <c r="A1026" s="150"/>
      <c r="B1026" s="21" t="s">
        <v>102</v>
      </c>
      <c r="C1026" s="188" t="s">
        <v>3169</v>
      </c>
      <c r="D1026" s="161">
        <v>21870</v>
      </c>
      <c r="E1026" s="161">
        <v>135</v>
      </c>
      <c r="F1026" s="161">
        <v>162</v>
      </c>
      <c r="G1026" s="161" t="s">
        <v>3170</v>
      </c>
      <c r="H1026" s="161" t="s">
        <v>63</v>
      </c>
      <c r="I1026" s="161">
        <v>67</v>
      </c>
      <c r="J1026" s="161" t="s">
        <v>105</v>
      </c>
      <c r="K1026" s="21" t="s">
        <v>106</v>
      </c>
      <c r="L1026" s="161" t="s">
        <v>3380</v>
      </c>
      <c r="M1026" s="21" t="s">
        <v>107</v>
      </c>
      <c r="N1026" s="161" t="s">
        <v>67</v>
      </c>
      <c r="O1026" s="21" t="s">
        <v>68</v>
      </c>
      <c r="P1026" s="161" t="s">
        <v>109</v>
      </c>
      <c r="Q1026" s="21" t="s">
        <v>70</v>
      </c>
      <c r="R1026" s="161">
        <v>70</v>
      </c>
      <c r="S1026" s="161" t="s">
        <v>129</v>
      </c>
      <c r="T1026" s="161" t="s">
        <v>3096</v>
      </c>
      <c r="U1026" s="161" t="s">
        <v>73</v>
      </c>
      <c r="V1026" s="21" t="s">
        <v>74</v>
      </c>
      <c r="W1026" s="21" t="s">
        <v>75</v>
      </c>
      <c r="X1026" s="161" t="s">
        <v>3186</v>
      </c>
      <c r="Y1026" s="161">
        <v>0.03</v>
      </c>
      <c r="Z1026" s="161">
        <v>4.8</v>
      </c>
      <c r="AA1026" s="161" t="s">
        <v>77</v>
      </c>
      <c r="AB1026" s="161" t="s">
        <v>114</v>
      </c>
      <c r="AC1026" s="266" t="str">
        <f>HYPERLINK("https://gcsvt.ru/svetodiodnyie-svetilniki/svt-str-bm-45w-45x140-trio/","Ссылка")</f>
        <v>Ссылка</v>
      </c>
      <c r="AD1026" s="167">
        <v>27336</v>
      </c>
    </row>
    <row r="1027" spans="1:30" s="161" customFormat="1" ht="39.950000000000003" hidden="1" customHeight="1" outlineLevel="1" x14ac:dyDescent="0.25">
      <c r="A1027" s="150"/>
      <c r="B1027" s="21" t="s">
        <v>102</v>
      </c>
      <c r="C1027" s="159" t="s">
        <v>3171</v>
      </c>
      <c r="D1027" s="161">
        <v>30420</v>
      </c>
      <c r="E1027" s="161">
        <v>180</v>
      </c>
      <c r="F1027" s="161">
        <v>169</v>
      </c>
      <c r="G1027" s="161" t="s">
        <v>3172</v>
      </c>
      <c r="H1027" s="161" t="s">
        <v>81</v>
      </c>
      <c r="I1027" s="161">
        <v>67</v>
      </c>
      <c r="J1027" s="161" t="s">
        <v>105</v>
      </c>
      <c r="K1027" s="21" t="s">
        <v>106</v>
      </c>
      <c r="L1027" s="161" t="s">
        <v>3380</v>
      </c>
      <c r="M1027" s="21" t="s">
        <v>107</v>
      </c>
      <c r="N1027" s="161" t="s">
        <v>67</v>
      </c>
      <c r="O1027" s="21" t="s">
        <v>68</v>
      </c>
      <c r="P1027" s="161" t="s">
        <v>109</v>
      </c>
      <c r="Q1027" s="21" t="s">
        <v>70</v>
      </c>
      <c r="R1027" s="161">
        <v>70</v>
      </c>
      <c r="S1027" s="161" t="s">
        <v>2845</v>
      </c>
      <c r="T1027" s="161" t="s">
        <v>111</v>
      </c>
      <c r="U1027" s="161" t="s">
        <v>73</v>
      </c>
      <c r="V1027" s="21" t="s">
        <v>74</v>
      </c>
      <c r="W1027" s="21" t="s">
        <v>75</v>
      </c>
      <c r="X1027" s="161" t="s">
        <v>3187</v>
      </c>
      <c r="Y1027" s="161">
        <v>0.04</v>
      </c>
      <c r="Z1027" s="161">
        <v>5.6</v>
      </c>
      <c r="AA1027" s="161" t="s">
        <v>77</v>
      </c>
      <c r="AB1027" s="161" t="s">
        <v>114</v>
      </c>
      <c r="AC1027" s="266" t="str">
        <f>HYPERLINK("https://gcsvt.ru/svetodiodnyie-svetilniki/svt-str-bm-60w-30-trio/","Ссылка")</f>
        <v>Ссылка</v>
      </c>
      <c r="AD1027" s="167">
        <v>35904</v>
      </c>
    </row>
    <row r="1028" spans="1:30" s="161" customFormat="1" ht="39.950000000000003" hidden="1" customHeight="1" outlineLevel="1" x14ac:dyDescent="0.25">
      <c r="A1028" s="150"/>
      <c r="B1028" s="21" t="s">
        <v>102</v>
      </c>
      <c r="C1028" s="188" t="s">
        <v>3173</v>
      </c>
      <c r="D1028" s="161">
        <v>30420</v>
      </c>
      <c r="E1028" s="161">
        <v>180</v>
      </c>
      <c r="F1028" s="161">
        <v>169</v>
      </c>
      <c r="G1028" s="161" t="s">
        <v>3174</v>
      </c>
      <c r="H1028" s="161" t="s">
        <v>84</v>
      </c>
      <c r="I1028" s="161">
        <v>67</v>
      </c>
      <c r="J1028" s="161" t="s">
        <v>105</v>
      </c>
      <c r="K1028" s="21" t="s">
        <v>106</v>
      </c>
      <c r="L1028" s="161" t="s">
        <v>3380</v>
      </c>
      <c r="M1028" s="21" t="s">
        <v>107</v>
      </c>
      <c r="N1028" s="161" t="s">
        <v>67</v>
      </c>
      <c r="O1028" s="21" t="s">
        <v>68</v>
      </c>
      <c r="P1028" s="161" t="s">
        <v>109</v>
      </c>
      <c r="Q1028" s="21" t="s">
        <v>70</v>
      </c>
      <c r="R1028" s="161">
        <v>70</v>
      </c>
      <c r="S1028" s="161" t="s">
        <v>2845</v>
      </c>
      <c r="T1028" s="161" t="s">
        <v>111</v>
      </c>
      <c r="U1028" s="161" t="s">
        <v>73</v>
      </c>
      <c r="V1028" s="21" t="s">
        <v>74</v>
      </c>
      <c r="W1028" s="21" t="s">
        <v>75</v>
      </c>
      <c r="X1028" s="161" t="s">
        <v>3187</v>
      </c>
      <c r="Y1028" s="161">
        <v>0.04</v>
      </c>
      <c r="Z1028" s="161">
        <v>5.6</v>
      </c>
      <c r="AA1028" s="161" t="s">
        <v>77</v>
      </c>
      <c r="AB1028" s="161" t="s">
        <v>114</v>
      </c>
      <c r="AC1028" s="266" t="str">
        <f>HYPERLINK("https://gcsvt.ru/svetodiodnyie-svetilniki/svt-str-bm-60w-60-trio/","Ссылка")</f>
        <v>Ссылка</v>
      </c>
      <c r="AD1028" s="167">
        <v>35904</v>
      </c>
    </row>
    <row r="1029" spans="1:30" s="161" customFormat="1" ht="39.950000000000003" hidden="1" customHeight="1" outlineLevel="1" x14ac:dyDescent="0.25">
      <c r="A1029" s="150"/>
      <c r="B1029" s="21" t="s">
        <v>102</v>
      </c>
      <c r="C1029" s="159" t="s">
        <v>3175</v>
      </c>
      <c r="D1029" s="161">
        <v>30420</v>
      </c>
      <c r="E1029" s="161">
        <v>180</v>
      </c>
      <c r="F1029" s="161">
        <v>169</v>
      </c>
      <c r="G1029" s="161" t="s">
        <v>3176</v>
      </c>
      <c r="H1029" s="161" t="s">
        <v>1617</v>
      </c>
      <c r="I1029" s="161">
        <v>67</v>
      </c>
      <c r="J1029" s="161" t="s">
        <v>105</v>
      </c>
      <c r="K1029" s="21" t="s">
        <v>106</v>
      </c>
      <c r="L1029" s="161" t="s">
        <v>3380</v>
      </c>
      <c r="M1029" s="21" t="s">
        <v>107</v>
      </c>
      <c r="N1029" s="161" t="s">
        <v>67</v>
      </c>
      <c r="O1029" s="21" t="s">
        <v>68</v>
      </c>
      <c r="P1029" s="161" t="s">
        <v>109</v>
      </c>
      <c r="Q1029" s="21" t="s">
        <v>70</v>
      </c>
      <c r="R1029" s="161">
        <v>70</v>
      </c>
      <c r="S1029" s="161" t="s">
        <v>2845</v>
      </c>
      <c r="T1029" s="161" t="s">
        <v>111</v>
      </c>
      <c r="U1029" s="161" t="s">
        <v>73</v>
      </c>
      <c r="V1029" s="21" t="s">
        <v>74</v>
      </c>
      <c r="W1029" s="21" t="s">
        <v>75</v>
      </c>
      <c r="X1029" s="161" t="s">
        <v>3187</v>
      </c>
      <c r="Y1029" s="161">
        <v>0.04</v>
      </c>
      <c r="Z1029" s="161">
        <v>5.6</v>
      </c>
      <c r="AA1029" s="161" t="s">
        <v>77</v>
      </c>
      <c r="AB1029" s="161" t="s">
        <v>114</v>
      </c>
      <c r="AC1029" s="266" t="str">
        <f>HYPERLINK("https://gcsvt.ru/svetodiodnyie-svetilniki/svt-str-bm-60w-90-trio/","Ссылка")</f>
        <v>Ссылка</v>
      </c>
      <c r="AD1029" s="167">
        <v>35904</v>
      </c>
    </row>
    <row r="1030" spans="1:30" s="161" customFormat="1" ht="39.950000000000003" hidden="1" customHeight="1" outlineLevel="1" x14ac:dyDescent="0.25">
      <c r="A1030" s="150"/>
      <c r="B1030" s="21" t="s">
        <v>102</v>
      </c>
      <c r="C1030" s="188" t="s">
        <v>3177</v>
      </c>
      <c r="D1030" s="161">
        <v>30420</v>
      </c>
      <c r="E1030" s="161">
        <v>180</v>
      </c>
      <c r="F1030" s="161">
        <v>169</v>
      </c>
      <c r="G1030" s="161" t="s">
        <v>3178</v>
      </c>
      <c r="H1030" s="161" t="s">
        <v>63</v>
      </c>
      <c r="I1030" s="161">
        <v>67</v>
      </c>
      <c r="J1030" s="161" t="s">
        <v>105</v>
      </c>
      <c r="K1030" s="21" t="s">
        <v>106</v>
      </c>
      <c r="L1030" s="161" t="s">
        <v>3380</v>
      </c>
      <c r="M1030" s="21" t="s">
        <v>107</v>
      </c>
      <c r="N1030" s="161" t="s">
        <v>108</v>
      </c>
      <c r="O1030" s="21" t="s">
        <v>68</v>
      </c>
      <c r="P1030" s="161" t="s">
        <v>109</v>
      </c>
      <c r="Q1030" s="21" t="s">
        <v>70</v>
      </c>
      <c r="R1030" s="161">
        <v>70</v>
      </c>
      <c r="S1030" s="161" t="s">
        <v>2845</v>
      </c>
      <c r="T1030" s="161" t="s">
        <v>111</v>
      </c>
      <c r="U1030" s="161" t="s">
        <v>73</v>
      </c>
      <c r="V1030" s="21" t="s">
        <v>74</v>
      </c>
      <c r="W1030" s="21" t="s">
        <v>75</v>
      </c>
      <c r="X1030" s="161" t="s">
        <v>3187</v>
      </c>
      <c r="Y1030" s="161">
        <v>0.04</v>
      </c>
      <c r="Z1030" s="161">
        <v>5.6</v>
      </c>
      <c r="AA1030" s="161" t="s">
        <v>77</v>
      </c>
      <c r="AB1030" s="161" t="s">
        <v>114</v>
      </c>
      <c r="AC1030" s="266" t="str">
        <f>HYPERLINK("https://gcsvt.ru/svetodiodnyie-svetilniki/svt-str-bm-60w-45x140-trio/","Ссылка")</f>
        <v>Ссылка</v>
      </c>
      <c r="AD1030" s="167">
        <v>35904</v>
      </c>
    </row>
    <row r="1031" spans="1:30" s="161" customFormat="1" ht="39.950000000000003" customHeight="1" collapsed="1" x14ac:dyDescent="0.25">
      <c r="A1031" s="185"/>
      <c r="B1031" s="195" t="s">
        <v>4625</v>
      </c>
      <c r="C1031" s="202"/>
      <c r="D1031" s="163"/>
      <c r="E1031" s="163"/>
      <c r="F1031" s="163"/>
      <c r="G1031" s="163"/>
      <c r="H1031" s="163"/>
      <c r="I1031" s="163"/>
      <c r="J1031" s="163"/>
      <c r="K1031" s="75"/>
      <c r="L1031" s="163"/>
      <c r="M1031" s="75"/>
      <c r="N1031" s="163"/>
      <c r="O1031" s="75"/>
      <c r="P1031" s="163"/>
      <c r="Q1031" s="75"/>
      <c r="R1031" s="163"/>
      <c r="S1031" s="163"/>
      <c r="T1031" s="163"/>
      <c r="U1031" s="163"/>
      <c r="V1031" s="75"/>
      <c r="W1031" s="75"/>
      <c r="X1031" s="163"/>
      <c r="Y1031" s="163"/>
      <c r="Z1031" s="163"/>
      <c r="AA1031" s="163"/>
      <c r="AB1031" s="163"/>
      <c r="AC1031" s="227"/>
      <c r="AD1031" s="164"/>
    </row>
    <row r="1032" spans="1:30" s="161" customFormat="1" ht="39.950000000000003" hidden="1" customHeight="1" outlineLevel="1" x14ac:dyDescent="0.25">
      <c r="A1032" s="171"/>
      <c r="B1032" s="21" t="s">
        <v>4701</v>
      </c>
      <c r="C1032" s="159" t="s">
        <v>4502</v>
      </c>
      <c r="D1032" s="4">
        <v>9000</v>
      </c>
      <c r="E1032" s="4">
        <v>60</v>
      </c>
      <c r="F1032" s="4">
        <v>150</v>
      </c>
      <c r="G1032" s="4" t="s">
        <v>4677</v>
      </c>
      <c r="H1032" s="4" t="s">
        <v>1578</v>
      </c>
      <c r="I1032" s="4">
        <v>67</v>
      </c>
      <c r="J1032" s="4" t="s">
        <v>105</v>
      </c>
      <c r="K1032" s="100" t="s">
        <v>106</v>
      </c>
      <c r="L1032" s="100" t="s">
        <v>3380</v>
      </c>
      <c r="M1032" s="100" t="s">
        <v>4503</v>
      </c>
      <c r="N1032" s="100" t="s">
        <v>67</v>
      </c>
      <c r="O1032" s="100" t="s">
        <v>2900</v>
      </c>
      <c r="P1032" s="100" t="s">
        <v>4504</v>
      </c>
      <c r="Q1032" s="100" t="s">
        <v>2288</v>
      </c>
      <c r="R1032" s="100">
        <v>70</v>
      </c>
      <c r="S1032" s="100" t="s">
        <v>4505</v>
      </c>
      <c r="T1032" s="100" t="s">
        <v>4506</v>
      </c>
      <c r="U1032" s="100" t="s">
        <v>142</v>
      </c>
      <c r="V1032" s="100" t="s">
        <v>74</v>
      </c>
      <c r="W1032" s="100" t="s">
        <v>4507</v>
      </c>
      <c r="X1032" s="100"/>
      <c r="Y1032" s="100">
        <v>0</v>
      </c>
      <c r="Z1032" s="100">
        <v>0</v>
      </c>
      <c r="AA1032" s="260" t="s">
        <v>4508</v>
      </c>
      <c r="AB1032" s="100" t="s">
        <v>114</v>
      </c>
      <c r="AC1032" s="266" t="str">
        <f>HYPERLINK("https://gcsvt.ru/svetodiodnyie-svetilniki/svt-str-var-cob-60w-135x75-c/","Ссылка")</f>
        <v>Ссылка</v>
      </c>
      <c r="AD1032" s="88">
        <v>14255</v>
      </c>
    </row>
    <row r="1033" spans="1:30" s="161" customFormat="1" ht="39.950000000000003" hidden="1" customHeight="1" outlineLevel="1" x14ac:dyDescent="0.25">
      <c r="A1033" s="171"/>
      <c r="B1033" s="21" t="s">
        <v>4701</v>
      </c>
      <c r="C1033" s="159" t="s">
        <v>4509</v>
      </c>
      <c r="D1033" s="4">
        <v>9000</v>
      </c>
      <c r="E1033" s="4">
        <v>60</v>
      </c>
      <c r="F1033" s="4">
        <v>150</v>
      </c>
      <c r="G1033" s="4" t="s">
        <v>4678</v>
      </c>
      <c r="H1033" s="4" t="s">
        <v>2899</v>
      </c>
      <c r="I1033" s="4">
        <v>67</v>
      </c>
      <c r="J1033" s="4" t="s">
        <v>105</v>
      </c>
      <c r="K1033" s="12" t="s">
        <v>106</v>
      </c>
      <c r="L1033" s="12" t="s">
        <v>3380</v>
      </c>
      <c r="M1033" s="12" t="s">
        <v>4503</v>
      </c>
      <c r="N1033" s="12" t="s">
        <v>67</v>
      </c>
      <c r="O1033" s="12" t="s">
        <v>2900</v>
      </c>
      <c r="P1033" s="12" t="s">
        <v>4504</v>
      </c>
      <c r="Q1033" s="12" t="s">
        <v>1720</v>
      </c>
      <c r="R1033" s="12">
        <v>70</v>
      </c>
      <c r="S1033" s="12" t="s">
        <v>4505</v>
      </c>
      <c r="T1033" s="12" t="s">
        <v>4506</v>
      </c>
      <c r="U1033" s="12" t="s">
        <v>142</v>
      </c>
      <c r="V1033" s="12" t="s">
        <v>74</v>
      </c>
      <c r="W1033" s="12" t="s">
        <v>257</v>
      </c>
      <c r="X1033" s="12" t="s">
        <v>4729</v>
      </c>
      <c r="Y1033" s="12">
        <v>0</v>
      </c>
      <c r="Z1033" s="12">
        <v>0</v>
      </c>
      <c r="AA1033" s="257" t="s">
        <v>4508</v>
      </c>
      <c r="AB1033" s="12" t="s">
        <v>114</v>
      </c>
      <c r="AC1033" s="266" t="str">
        <f>HYPERLINK("https://gcsvt.ru/svetodiodnyie-svetilniki/svt-str-var-cob-60w-38/","Ссылка")</f>
        <v>Ссылка</v>
      </c>
      <c r="AD1033" s="88">
        <v>14255</v>
      </c>
    </row>
    <row r="1034" spans="1:30" s="161" customFormat="1" ht="39.950000000000003" hidden="1" customHeight="1" outlineLevel="1" x14ac:dyDescent="0.25">
      <c r="A1034" s="171"/>
      <c r="B1034" s="21" t="s">
        <v>4701</v>
      </c>
      <c r="C1034" s="159" t="s">
        <v>4510</v>
      </c>
      <c r="D1034" s="4">
        <v>9000</v>
      </c>
      <c r="E1034" s="4">
        <v>60</v>
      </c>
      <c r="F1034" s="4">
        <v>150</v>
      </c>
      <c r="G1034" s="4" t="s">
        <v>4679</v>
      </c>
      <c r="H1034" s="4" t="s">
        <v>1577</v>
      </c>
      <c r="I1034" s="4">
        <v>67</v>
      </c>
      <c r="J1034" s="4" t="s">
        <v>105</v>
      </c>
      <c r="K1034" s="100" t="s">
        <v>106</v>
      </c>
      <c r="L1034" s="100" t="s">
        <v>3380</v>
      </c>
      <c r="M1034" s="100" t="s">
        <v>4503</v>
      </c>
      <c r="N1034" s="100" t="s">
        <v>67</v>
      </c>
      <c r="O1034" s="100" t="s">
        <v>2900</v>
      </c>
      <c r="P1034" s="100" t="s">
        <v>4504</v>
      </c>
      <c r="Q1034" s="100" t="s">
        <v>1720</v>
      </c>
      <c r="R1034" s="100">
        <v>70</v>
      </c>
      <c r="S1034" s="100" t="s">
        <v>4505</v>
      </c>
      <c r="T1034" s="100" t="s">
        <v>4506</v>
      </c>
      <c r="U1034" s="100" t="s">
        <v>142</v>
      </c>
      <c r="V1034" s="100" t="s">
        <v>74</v>
      </c>
      <c r="W1034" s="100" t="s">
        <v>257</v>
      </c>
      <c r="X1034" s="100" t="s">
        <v>4729</v>
      </c>
      <c r="Y1034" s="100">
        <v>0</v>
      </c>
      <c r="Z1034" s="100">
        <v>0</v>
      </c>
      <c r="AA1034" s="260" t="s">
        <v>4508</v>
      </c>
      <c r="AB1034" s="100" t="s">
        <v>114</v>
      </c>
      <c r="AC1034" s="266" t="str">
        <f>HYPERLINK("https://gcsvt.ru/svetodiodnyie-svetilniki/svt-str-var-cob-60w-45/","Ссылка")</f>
        <v>Ссылка</v>
      </c>
      <c r="AD1034" s="88">
        <v>14255</v>
      </c>
    </row>
    <row r="1035" spans="1:30" s="161" customFormat="1" ht="39.950000000000003" hidden="1" customHeight="1" outlineLevel="1" x14ac:dyDescent="0.25">
      <c r="A1035" s="171"/>
      <c r="B1035" s="21" t="s">
        <v>4701</v>
      </c>
      <c r="C1035" s="159" t="s">
        <v>4511</v>
      </c>
      <c r="D1035" s="4">
        <v>9000</v>
      </c>
      <c r="E1035" s="4">
        <v>60</v>
      </c>
      <c r="F1035" s="4">
        <v>150</v>
      </c>
      <c r="G1035" s="4" t="s">
        <v>4680</v>
      </c>
      <c r="H1035" s="4" t="s">
        <v>84</v>
      </c>
      <c r="I1035" s="4">
        <v>67</v>
      </c>
      <c r="J1035" s="4" t="s">
        <v>105</v>
      </c>
      <c r="K1035" s="12" t="s">
        <v>106</v>
      </c>
      <c r="L1035" s="12" t="s">
        <v>3380</v>
      </c>
      <c r="M1035" s="12" t="s">
        <v>4503</v>
      </c>
      <c r="N1035" s="12" t="s">
        <v>67</v>
      </c>
      <c r="O1035" s="12" t="s">
        <v>2900</v>
      </c>
      <c r="P1035" s="12" t="s">
        <v>4504</v>
      </c>
      <c r="Q1035" s="12" t="s">
        <v>1720</v>
      </c>
      <c r="R1035" s="12">
        <v>70</v>
      </c>
      <c r="S1035" s="12" t="s">
        <v>4505</v>
      </c>
      <c r="T1035" s="12" t="s">
        <v>4506</v>
      </c>
      <c r="U1035" s="12" t="s">
        <v>142</v>
      </c>
      <c r="V1035" s="12" t="s">
        <v>74</v>
      </c>
      <c r="W1035" s="12" t="s">
        <v>257</v>
      </c>
      <c r="X1035" s="12" t="s">
        <v>4729</v>
      </c>
      <c r="Y1035" s="12">
        <v>0</v>
      </c>
      <c r="Z1035" s="12">
        <v>0</v>
      </c>
      <c r="AA1035" s="257" t="s">
        <v>4508</v>
      </c>
      <c r="AB1035" s="12" t="s">
        <v>114</v>
      </c>
      <c r="AC1035" s="266" t="str">
        <f>HYPERLINK("https://gcsvt.ru/svetodiodnyie-svetilniki/svt-str-var-cob-60w-60/","Ссылка")</f>
        <v>Ссылка</v>
      </c>
      <c r="AD1035" s="88">
        <v>14255</v>
      </c>
    </row>
    <row r="1036" spans="1:30" s="161" customFormat="1" ht="39.950000000000003" hidden="1" customHeight="1" outlineLevel="1" x14ac:dyDescent="0.25">
      <c r="A1036" s="171"/>
      <c r="B1036" s="21" t="s">
        <v>4701</v>
      </c>
      <c r="C1036" s="159" t="s">
        <v>4512</v>
      </c>
      <c r="D1036" s="4">
        <v>9000</v>
      </c>
      <c r="E1036" s="4">
        <v>60</v>
      </c>
      <c r="F1036" s="4">
        <v>150</v>
      </c>
      <c r="G1036" s="4" t="s">
        <v>4681</v>
      </c>
      <c r="H1036" s="4" t="s">
        <v>1617</v>
      </c>
      <c r="I1036" s="4">
        <v>67</v>
      </c>
      <c r="J1036" s="4" t="s">
        <v>105</v>
      </c>
      <c r="K1036" s="100" t="s">
        <v>106</v>
      </c>
      <c r="L1036" s="100" t="s">
        <v>3380</v>
      </c>
      <c r="M1036" s="100" t="s">
        <v>4503</v>
      </c>
      <c r="N1036" s="100" t="s">
        <v>67</v>
      </c>
      <c r="O1036" s="100" t="s">
        <v>2900</v>
      </c>
      <c r="P1036" s="100" t="s">
        <v>4504</v>
      </c>
      <c r="Q1036" s="100" t="s">
        <v>1720</v>
      </c>
      <c r="R1036" s="100">
        <v>70</v>
      </c>
      <c r="S1036" s="100" t="s">
        <v>4505</v>
      </c>
      <c r="T1036" s="100" t="s">
        <v>4506</v>
      </c>
      <c r="U1036" s="100" t="s">
        <v>142</v>
      </c>
      <c r="V1036" s="100" t="s">
        <v>74</v>
      </c>
      <c r="W1036" s="100" t="s">
        <v>257</v>
      </c>
      <c r="X1036" s="100" t="s">
        <v>4729</v>
      </c>
      <c r="Y1036" s="100">
        <v>0</v>
      </c>
      <c r="Z1036" s="100">
        <v>0</v>
      </c>
      <c r="AA1036" s="260" t="s">
        <v>4508</v>
      </c>
      <c r="AB1036" s="100" t="s">
        <v>114</v>
      </c>
      <c r="AC1036" s="266" t="str">
        <f>HYPERLINK("https://gcsvt.ru/svetodiodnyie-svetilniki/svt-str-var-cob-60w-90/","Ссылка")</f>
        <v>Ссылка</v>
      </c>
      <c r="AD1036" s="88">
        <v>14255</v>
      </c>
    </row>
    <row r="1037" spans="1:30" s="161" customFormat="1" ht="39.950000000000003" hidden="1" customHeight="1" outlineLevel="1" x14ac:dyDescent="0.25">
      <c r="A1037" s="171"/>
      <c r="B1037" s="21" t="s">
        <v>4701</v>
      </c>
      <c r="C1037" s="159" t="s">
        <v>4513</v>
      </c>
      <c r="D1037" s="4">
        <v>9000</v>
      </c>
      <c r="E1037" s="4">
        <v>60</v>
      </c>
      <c r="F1037" s="4">
        <v>150</v>
      </c>
      <c r="G1037" s="4" t="s">
        <v>4682</v>
      </c>
      <c r="H1037" s="4" t="s">
        <v>138</v>
      </c>
      <c r="I1037" s="4">
        <v>67</v>
      </c>
      <c r="J1037" s="4" t="s">
        <v>105</v>
      </c>
      <c r="K1037" s="12" t="s">
        <v>106</v>
      </c>
      <c r="L1037" s="12" t="s">
        <v>3380</v>
      </c>
      <c r="M1037" s="12" t="s">
        <v>4503</v>
      </c>
      <c r="N1037" s="12" t="s">
        <v>67</v>
      </c>
      <c r="O1037" s="12" t="s">
        <v>2900</v>
      </c>
      <c r="P1037" s="12" t="s">
        <v>4504</v>
      </c>
      <c r="Q1037" s="12" t="s">
        <v>1720</v>
      </c>
      <c r="R1037" s="12">
        <v>70</v>
      </c>
      <c r="S1037" s="12" t="s">
        <v>4505</v>
      </c>
      <c r="T1037" s="12" t="s">
        <v>4506</v>
      </c>
      <c r="U1037" s="12" t="s">
        <v>142</v>
      </c>
      <c r="V1037" s="12" t="s">
        <v>74</v>
      </c>
      <c r="W1037" s="12" t="s">
        <v>257</v>
      </c>
      <c r="X1037" s="12" t="s">
        <v>4729</v>
      </c>
      <c r="Y1037" s="12">
        <v>0</v>
      </c>
      <c r="Z1037" s="12">
        <v>0</v>
      </c>
      <c r="AA1037" s="257" t="s">
        <v>4508</v>
      </c>
      <c r="AB1037" s="12" t="s">
        <v>114</v>
      </c>
      <c r="AC1037" s="266" t="str">
        <f>HYPERLINK("https://gcsvt.ru/svetodiodnyie-svetilniki/svt-str-var-cob-60w-120/","Ссылка")</f>
        <v>Ссылка</v>
      </c>
      <c r="AD1037" s="88">
        <v>14255</v>
      </c>
    </row>
    <row r="1038" spans="1:30" s="161" customFormat="1" ht="39.950000000000003" hidden="1" customHeight="1" outlineLevel="1" x14ac:dyDescent="0.25">
      <c r="A1038" s="171"/>
      <c r="B1038" s="21" t="s">
        <v>4701</v>
      </c>
      <c r="C1038" s="159" t="s">
        <v>4737</v>
      </c>
      <c r="D1038" s="4">
        <v>18000</v>
      </c>
      <c r="E1038" s="4">
        <v>120</v>
      </c>
      <c r="F1038" s="4">
        <v>150</v>
      </c>
      <c r="G1038" s="4" t="s">
        <v>4683</v>
      </c>
      <c r="H1038" s="4" t="s">
        <v>1578</v>
      </c>
      <c r="I1038" s="4">
        <v>67</v>
      </c>
      <c r="J1038" s="4" t="s">
        <v>105</v>
      </c>
      <c r="K1038" s="100" t="s">
        <v>106</v>
      </c>
      <c r="L1038" s="100" t="s">
        <v>3380</v>
      </c>
      <c r="M1038" s="100" t="s">
        <v>4503</v>
      </c>
      <c r="N1038" s="100" t="s">
        <v>67</v>
      </c>
      <c r="O1038" s="100" t="s">
        <v>2900</v>
      </c>
      <c r="P1038" s="100" t="s">
        <v>4504</v>
      </c>
      <c r="Q1038" s="100" t="s">
        <v>2288</v>
      </c>
      <c r="R1038" s="100">
        <v>70</v>
      </c>
      <c r="S1038" s="100" t="s">
        <v>4514</v>
      </c>
      <c r="T1038" s="100" t="s">
        <v>4506</v>
      </c>
      <c r="U1038" s="100" t="s">
        <v>142</v>
      </c>
      <c r="V1038" s="100" t="s">
        <v>74</v>
      </c>
      <c r="W1038" s="100" t="s">
        <v>4507</v>
      </c>
      <c r="X1038" s="100"/>
      <c r="Y1038" s="100">
        <v>0</v>
      </c>
      <c r="Z1038" s="100">
        <v>0</v>
      </c>
      <c r="AA1038" s="260" t="s">
        <v>4508</v>
      </c>
      <c r="AB1038" s="100" t="s">
        <v>114</v>
      </c>
      <c r="AC1038" s="266" t="str">
        <f>HYPERLINK("https://gcsvt.ru/svetodiodnyie-svetilniki/svt-str-var-cob-120w-135x75-c/","Ссылка")</f>
        <v>Ссылка</v>
      </c>
      <c r="AD1038" s="88">
        <v>19907</v>
      </c>
    </row>
    <row r="1039" spans="1:30" s="161" customFormat="1" ht="39.950000000000003" hidden="1" customHeight="1" outlineLevel="1" x14ac:dyDescent="0.25">
      <c r="A1039" s="171"/>
      <c r="B1039" s="21" t="s">
        <v>4701</v>
      </c>
      <c r="C1039" s="159" t="s">
        <v>4515</v>
      </c>
      <c r="D1039" s="4">
        <v>18000</v>
      </c>
      <c r="E1039" s="4">
        <v>120</v>
      </c>
      <c r="F1039" s="4">
        <v>150</v>
      </c>
      <c r="G1039" s="4" t="s">
        <v>4684</v>
      </c>
      <c r="H1039" s="4" t="s">
        <v>2899</v>
      </c>
      <c r="I1039" s="4">
        <v>67</v>
      </c>
      <c r="J1039" s="4" t="s">
        <v>105</v>
      </c>
      <c r="K1039" s="12" t="s">
        <v>106</v>
      </c>
      <c r="L1039" s="12" t="s">
        <v>3380</v>
      </c>
      <c r="M1039" s="12" t="s">
        <v>4503</v>
      </c>
      <c r="N1039" s="12" t="s">
        <v>67</v>
      </c>
      <c r="O1039" s="12" t="s">
        <v>2900</v>
      </c>
      <c r="P1039" s="12" t="s">
        <v>4504</v>
      </c>
      <c r="Q1039" s="12" t="s">
        <v>1720</v>
      </c>
      <c r="R1039" s="12">
        <v>70</v>
      </c>
      <c r="S1039" s="12" t="s">
        <v>4514</v>
      </c>
      <c r="T1039" s="12" t="s">
        <v>4506</v>
      </c>
      <c r="U1039" s="12" t="s">
        <v>142</v>
      </c>
      <c r="V1039" s="12" t="s">
        <v>74</v>
      </c>
      <c r="W1039" s="12" t="s">
        <v>257</v>
      </c>
      <c r="X1039" s="12" t="s">
        <v>4730</v>
      </c>
      <c r="Y1039" s="12">
        <v>0</v>
      </c>
      <c r="Z1039" s="12">
        <v>0</v>
      </c>
      <c r="AA1039" s="257" t="s">
        <v>4508</v>
      </c>
      <c r="AB1039" s="12" t="s">
        <v>114</v>
      </c>
      <c r="AC1039" s="266" t="str">
        <f>HYPERLINK("https://gcsvt.ru/svetodiodnyie-svetilniki/svt-str-var-cob-120w-38/","Ссылка")</f>
        <v>Ссылка</v>
      </c>
      <c r="AD1039" s="88">
        <v>19907</v>
      </c>
    </row>
    <row r="1040" spans="1:30" s="161" customFormat="1" ht="39.950000000000003" hidden="1" customHeight="1" outlineLevel="1" x14ac:dyDescent="0.25">
      <c r="A1040" s="171"/>
      <c r="B1040" s="21" t="s">
        <v>4701</v>
      </c>
      <c r="C1040" s="159" t="s">
        <v>4516</v>
      </c>
      <c r="D1040" s="4">
        <v>18000</v>
      </c>
      <c r="E1040" s="4">
        <v>120</v>
      </c>
      <c r="F1040" s="4">
        <v>150</v>
      </c>
      <c r="G1040" s="4" t="s">
        <v>4685</v>
      </c>
      <c r="H1040" s="4" t="s">
        <v>1577</v>
      </c>
      <c r="I1040" s="4">
        <v>67</v>
      </c>
      <c r="J1040" s="4" t="s">
        <v>105</v>
      </c>
      <c r="K1040" s="100" t="s">
        <v>106</v>
      </c>
      <c r="L1040" s="100" t="s">
        <v>3380</v>
      </c>
      <c r="M1040" s="100" t="s">
        <v>4503</v>
      </c>
      <c r="N1040" s="100" t="s">
        <v>67</v>
      </c>
      <c r="O1040" s="100" t="s">
        <v>2900</v>
      </c>
      <c r="P1040" s="100" t="s">
        <v>4504</v>
      </c>
      <c r="Q1040" s="100" t="s">
        <v>1720</v>
      </c>
      <c r="R1040" s="100">
        <v>70</v>
      </c>
      <c r="S1040" s="100" t="s">
        <v>4514</v>
      </c>
      <c r="T1040" s="100" t="s">
        <v>4506</v>
      </c>
      <c r="U1040" s="100" t="s">
        <v>142</v>
      </c>
      <c r="V1040" s="100" t="s">
        <v>74</v>
      </c>
      <c r="W1040" s="100" t="s">
        <v>257</v>
      </c>
      <c r="X1040" s="100" t="s">
        <v>4730</v>
      </c>
      <c r="Y1040" s="100">
        <v>0</v>
      </c>
      <c r="Z1040" s="100">
        <v>0</v>
      </c>
      <c r="AA1040" s="260" t="s">
        <v>4508</v>
      </c>
      <c r="AB1040" s="100" t="s">
        <v>114</v>
      </c>
      <c r="AC1040" s="266" t="str">
        <f>HYPERLINK("https://gcsvt.ru/svetodiodnyie-svetilniki/svt-str-var-cob-120w-45/","Ссылка")</f>
        <v>Ссылка</v>
      </c>
      <c r="AD1040" s="88">
        <v>19907</v>
      </c>
    </row>
    <row r="1041" spans="1:30" s="161" customFormat="1" ht="39.950000000000003" hidden="1" customHeight="1" outlineLevel="1" x14ac:dyDescent="0.25">
      <c r="A1041" s="171"/>
      <c r="B1041" s="21" t="s">
        <v>4701</v>
      </c>
      <c r="C1041" s="159" t="s">
        <v>4517</v>
      </c>
      <c r="D1041" s="4">
        <v>18000</v>
      </c>
      <c r="E1041" s="4">
        <v>120</v>
      </c>
      <c r="F1041" s="4">
        <v>150</v>
      </c>
      <c r="G1041" s="4" t="s">
        <v>4686</v>
      </c>
      <c r="H1041" s="4" t="s">
        <v>84</v>
      </c>
      <c r="I1041" s="4">
        <v>67</v>
      </c>
      <c r="J1041" s="4" t="s">
        <v>105</v>
      </c>
      <c r="K1041" s="12" t="s">
        <v>106</v>
      </c>
      <c r="L1041" s="12" t="s">
        <v>3380</v>
      </c>
      <c r="M1041" s="12" t="s">
        <v>4503</v>
      </c>
      <c r="N1041" s="12" t="s">
        <v>67</v>
      </c>
      <c r="O1041" s="12" t="s">
        <v>2900</v>
      </c>
      <c r="P1041" s="12" t="s">
        <v>4504</v>
      </c>
      <c r="Q1041" s="12" t="s">
        <v>1720</v>
      </c>
      <c r="R1041" s="12">
        <v>70</v>
      </c>
      <c r="S1041" s="12" t="s">
        <v>4514</v>
      </c>
      <c r="T1041" s="12" t="s">
        <v>4506</v>
      </c>
      <c r="U1041" s="12" t="s">
        <v>142</v>
      </c>
      <c r="V1041" s="12" t="s">
        <v>74</v>
      </c>
      <c r="W1041" s="12" t="s">
        <v>257</v>
      </c>
      <c r="X1041" s="12" t="s">
        <v>4730</v>
      </c>
      <c r="Y1041" s="12">
        <v>0</v>
      </c>
      <c r="Z1041" s="12">
        <v>0</v>
      </c>
      <c r="AA1041" s="257" t="s">
        <v>4508</v>
      </c>
      <c r="AB1041" s="12" t="s">
        <v>114</v>
      </c>
      <c r="AC1041" s="266" t="str">
        <f>HYPERLINK("https://gcsvt.ru/svetodiodnyie-svetilniki/svt-str-var-cob-120w-60/","Ссылка")</f>
        <v>Ссылка</v>
      </c>
      <c r="AD1041" s="88">
        <v>19907</v>
      </c>
    </row>
    <row r="1042" spans="1:30" s="161" customFormat="1" ht="39.950000000000003" hidden="1" customHeight="1" outlineLevel="1" x14ac:dyDescent="0.25">
      <c r="A1042" s="171"/>
      <c r="B1042" s="21" t="s">
        <v>4701</v>
      </c>
      <c r="C1042" s="159" t="s">
        <v>4518</v>
      </c>
      <c r="D1042" s="4">
        <v>18000</v>
      </c>
      <c r="E1042" s="4">
        <v>120</v>
      </c>
      <c r="F1042" s="4">
        <v>150</v>
      </c>
      <c r="G1042" s="4" t="s">
        <v>4687</v>
      </c>
      <c r="H1042" s="4" t="s">
        <v>1617</v>
      </c>
      <c r="I1042" s="4">
        <v>67</v>
      </c>
      <c r="J1042" s="4" t="s">
        <v>105</v>
      </c>
      <c r="K1042" s="100" t="s">
        <v>106</v>
      </c>
      <c r="L1042" s="100" t="s">
        <v>3380</v>
      </c>
      <c r="M1042" s="100" t="s">
        <v>4503</v>
      </c>
      <c r="N1042" s="100" t="s">
        <v>67</v>
      </c>
      <c r="O1042" s="100" t="s">
        <v>2900</v>
      </c>
      <c r="P1042" s="100" t="s">
        <v>4504</v>
      </c>
      <c r="Q1042" s="100" t="s">
        <v>1720</v>
      </c>
      <c r="R1042" s="100">
        <v>70</v>
      </c>
      <c r="S1042" s="100" t="s">
        <v>4514</v>
      </c>
      <c r="T1042" s="100" t="s">
        <v>4506</v>
      </c>
      <c r="U1042" s="100" t="s">
        <v>142</v>
      </c>
      <c r="V1042" s="100" t="s">
        <v>74</v>
      </c>
      <c r="W1042" s="100" t="s">
        <v>257</v>
      </c>
      <c r="X1042" s="100" t="s">
        <v>4730</v>
      </c>
      <c r="Y1042" s="100">
        <v>0</v>
      </c>
      <c r="Z1042" s="100">
        <v>0</v>
      </c>
      <c r="AA1042" s="260" t="s">
        <v>4508</v>
      </c>
      <c r="AB1042" s="100" t="s">
        <v>114</v>
      </c>
      <c r="AC1042" s="266" t="str">
        <f>HYPERLINK("https://gcsvt.ru/svetodiodnyie-svetilniki/svt-str-var-cob-120w-90/","Ссылка")</f>
        <v>Ссылка</v>
      </c>
      <c r="AD1042" s="88">
        <v>19907</v>
      </c>
    </row>
    <row r="1043" spans="1:30" s="161" customFormat="1" ht="39.950000000000003" hidden="1" customHeight="1" outlineLevel="1" x14ac:dyDescent="0.25">
      <c r="A1043" s="171"/>
      <c r="B1043" s="21" t="s">
        <v>4701</v>
      </c>
      <c r="C1043" s="159" t="s">
        <v>4519</v>
      </c>
      <c r="D1043" s="4">
        <v>18000</v>
      </c>
      <c r="E1043" s="4">
        <v>120</v>
      </c>
      <c r="F1043" s="4">
        <v>150</v>
      </c>
      <c r="G1043" s="4" t="s">
        <v>4688</v>
      </c>
      <c r="H1043" s="4" t="s">
        <v>138</v>
      </c>
      <c r="I1043" s="4">
        <v>67</v>
      </c>
      <c r="J1043" s="4" t="s">
        <v>105</v>
      </c>
      <c r="K1043" s="12" t="s">
        <v>106</v>
      </c>
      <c r="L1043" s="12" t="s">
        <v>3380</v>
      </c>
      <c r="M1043" s="12" t="s">
        <v>4503</v>
      </c>
      <c r="N1043" s="12" t="s">
        <v>67</v>
      </c>
      <c r="O1043" s="12" t="s">
        <v>2900</v>
      </c>
      <c r="P1043" s="12" t="s">
        <v>4504</v>
      </c>
      <c r="Q1043" s="12" t="s">
        <v>1720</v>
      </c>
      <c r="R1043" s="12">
        <v>70</v>
      </c>
      <c r="S1043" s="12" t="s">
        <v>4514</v>
      </c>
      <c r="T1043" s="12" t="s">
        <v>4506</v>
      </c>
      <c r="U1043" s="12" t="s">
        <v>142</v>
      </c>
      <c r="V1043" s="12" t="s">
        <v>74</v>
      </c>
      <c r="W1043" s="12" t="s">
        <v>257</v>
      </c>
      <c r="X1043" s="12" t="s">
        <v>4730</v>
      </c>
      <c r="Y1043" s="12">
        <v>0</v>
      </c>
      <c r="Z1043" s="12">
        <v>0</v>
      </c>
      <c r="AA1043" s="257" t="s">
        <v>4508</v>
      </c>
      <c r="AB1043" s="12" t="s">
        <v>114</v>
      </c>
      <c r="AC1043" s="266" t="str">
        <f>HYPERLINK("https://gcsvt.ru/svetodiodnyie-svetilniki/svt-str-var-cob-120w-120/","Ссылка")</f>
        <v>Ссылка</v>
      </c>
      <c r="AD1043" s="88">
        <v>19907</v>
      </c>
    </row>
    <row r="1044" spans="1:30" s="161" customFormat="1" ht="39.950000000000003" hidden="1" customHeight="1" outlineLevel="1" x14ac:dyDescent="0.25">
      <c r="A1044" s="171"/>
      <c r="B1044" s="21" t="s">
        <v>4701</v>
      </c>
      <c r="C1044" s="159" t="s">
        <v>4738</v>
      </c>
      <c r="D1044" s="4">
        <v>27000</v>
      </c>
      <c r="E1044" s="4">
        <v>180</v>
      </c>
      <c r="F1044" s="4">
        <v>150</v>
      </c>
      <c r="G1044" s="4" t="s">
        <v>4689</v>
      </c>
      <c r="H1044" s="4" t="s">
        <v>1578</v>
      </c>
      <c r="I1044" s="4">
        <v>67</v>
      </c>
      <c r="J1044" s="4" t="s">
        <v>105</v>
      </c>
      <c r="K1044" s="100" t="s">
        <v>106</v>
      </c>
      <c r="L1044" s="100" t="s">
        <v>3380</v>
      </c>
      <c r="M1044" s="100" t="s">
        <v>4503</v>
      </c>
      <c r="N1044" s="100" t="s">
        <v>67</v>
      </c>
      <c r="O1044" s="100" t="s">
        <v>2900</v>
      </c>
      <c r="P1044" s="100" t="s">
        <v>4504</v>
      </c>
      <c r="Q1044" s="100" t="s">
        <v>2288</v>
      </c>
      <c r="R1044" s="100">
        <v>70</v>
      </c>
      <c r="S1044" s="100" t="s">
        <v>4520</v>
      </c>
      <c r="T1044" s="100" t="s">
        <v>4506</v>
      </c>
      <c r="U1044" s="100" t="s">
        <v>142</v>
      </c>
      <c r="V1044" s="100" t="s">
        <v>74</v>
      </c>
      <c r="W1044" s="100" t="s">
        <v>4507</v>
      </c>
      <c r="X1044" s="100"/>
      <c r="Y1044" s="100">
        <v>0</v>
      </c>
      <c r="Z1044" s="100">
        <v>0</v>
      </c>
      <c r="AA1044" s="260" t="s">
        <v>4508</v>
      </c>
      <c r="AB1044" s="100" t="s">
        <v>114</v>
      </c>
      <c r="AC1044" s="266" t="str">
        <f>HYPERLINK("https://gcsvt.ru/svetodiodnyie-svetilniki/svt-str-var-cob-180w-135x75-c/","Ссылка")</f>
        <v>Ссылка</v>
      </c>
      <c r="AD1044" s="88">
        <v>27234</v>
      </c>
    </row>
    <row r="1045" spans="1:30" s="161" customFormat="1" ht="39.950000000000003" hidden="1" customHeight="1" outlineLevel="1" x14ac:dyDescent="0.25">
      <c r="A1045" s="171"/>
      <c r="B1045" s="21" t="s">
        <v>4701</v>
      </c>
      <c r="C1045" s="159" t="s">
        <v>4521</v>
      </c>
      <c r="D1045" s="4">
        <v>27000</v>
      </c>
      <c r="E1045" s="4">
        <v>180</v>
      </c>
      <c r="F1045" s="4">
        <v>150</v>
      </c>
      <c r="G1045" s="4" t="s">
        <v>4690</v>
      </c>
      <c r="H1045" s="4" t="s">
        <v>2899</v>
      </c>
      <c r="I1045" s="4">
        <v>67</v>
      </c>
      <c r="J1045" s="4" t="s">
        <v>105</v>
      </c>
      <c r="K1045" s="12" t="s">
        <v>106</v>
      </c>
      <c r="L1045" s="12" t="s">
        <v>3380</v>
      </c>
      <c r="M1045" s="12" t="s">
        <v>4503</v>
      </c>
      <c r="N1045" s="12" t="s">
        <v>67</v>
      </c>
      <c r="O1045" s="12" t="s">
        <v>2900</v>
      </c>
      <c r="P1045" s="12" t="s">
        <v>4504</v>
      </c>
      <c r="Q1045" s="12" t="s">
        <v>1720</v>
      </c>
      <c r="R1045" s="12">
        <v>70</v>
      </c>
      <c r="S1045" s="12" t="s">
        <v>4520</v>
      </c>
      <c r="T1045" s="12" t="s">
        <v>4506</v>
      </c>
      <c r="U1045" s="12" t="s">
        <v>142</v>
      </c>
      <c r="V1045" s="12" t="s">
        <v>74</v>
      </c>
      <c r="W1045" s="12" t="s">
        <v>257</v>
      </c>
      <c r="X1045" s="12" t="s">
        <v>4731</v>
      </c>
      <c r="Y1045" s="12">
        <v>0</v>
      </c>
      <c r="Z1045" s="12">
        <v>0</v>
      </c>
      <c r="AA1045" s="257" t="s">
        <v>4508</v>
      </c>
      <c r="AB1045" s="12" t="s">
        <v>114</v>
      </c>
      <c r="AC1045" s="266" t="str">
        <f>HYPERLINK("https://gcsvt.ru/svetodiodnyie-svetilniki/svt-str-var-cob-180w-38/","Ссылка")</f>
        <v>Ссылка</v>
      </c>
      <c r="AD1045" s="88">
        <v>27234</v>
      </c>
    </row>
    <row r="1046" spans="1:30" s="161" customFormat="1" ht="39.950000000000003" hidden="1" customHeight="1" outlineLevel="1" x14ac:dyDescent="0.25">
      <c r="A1046" s="171"/>
      <c r="B1046" s="21" t="s">
        <v>4701</v>
      </c>
      <c r="C1046" s="159" t="s">
        <v>4522</v>
      </c>
      <c r="D1046" s="4">
        <v>27000</v>
      </c>
      <c r="E1046" s="4">
        <v>180</v>
      </c>
      <c r="F1046" s="4">
        <v>150</v>
      </c>
      <c r="G1046" s="4" t="s">
        <v>4691</v>
      </c>
      <c r="H1046" s="4" t="s">
        <v>1577</v>
      </c>
      <c r="I1046" s="4">
        <v>67</v>
      </c>
      <c r="J1046" s="4" t="s">
        <v>105</v>
      </c>
      <c r="K1046" s="100" t="s">
        <v>106</v>
      </c>
      <c r="L1046" s="100" t="s">
        <v>3380</v>
      </c>
      <c r="M1046" s="100" t="s">
        <v>4503</v>
      </c>
      <c r="N1046" s="100" t="s">
        <v>67</v>
      </c>
      <c r="O1046" s="100" t="s">
        <v>2900</v>
      </c>
      <c r="P1046" s="100" t="s">
        <v>4504</v>
      </c>
      <c r="Q1046" s="100" t="s">
        <v>1720</v>
      </c>
      <c r="R1046" s="100">
        <v>70</v>
      </c>
      <c r="S1046" s="100" t="s">
        <v>4520</v>
      </c>
      <c r="T1046" s="100" t="s">
        <v>4506</v>
      </c>
      <c r="U1046" s="100" t="s">
        <v>142</v>
      </c>
      <c r="V1046" s="100" t="s">
        <v>74</v>
      </c>
      <c r="W1046" s="100" t="s">
        <v>257</v>
      </c>
      <c r="X1046" s="100" t="s">
        <v>4731</v>
      </c>
      <c r="Y1046" s="100">
        <v>0</v>
      </c>
      <c r="Z1046" s="100">
        <v>0</v>
      </c>
      <c r="AA1046" s="260" t="s">
        <v>4508</v>
      </c>
      <c r="AB1046" s="100" t="s">
        <v>114</v>
      </c>
      <c r="AC1046" s="266" t="str">
        <f>HYPERLINK("https://gcsvt.ru/svetodiodnyie-svetilniki/svt-str-var-cob-180w-45/","Ссылка")</f>
        <v>Ссылка</v>
      </c>
      <c r="AD1046" s="88">
        <v>27234</v>
      </c>
    </row>
    <row r="1047" spans="1:30" s="161" customFormat="1" ht="39.950000000000003" hidden="1" customHeight="1" outlineLevel="1" x14ac:dyDescent="0.25">
      <c r="A1047" s="171"/>
      <c r="B1047" s="21" t="s">
        <v>4701</v>
      </c>
      <c r="C1047" s="159" t="s">
        <v>4523</v>
      </c>
      <c r="D1047" s="4">
        <v>27000</v>
      </c>
      <c r="E1047" s="4">
        <v>180</v>
      </c>
      <c r="F1047" s="4">
        <v>150</v>
      </c>
      <c r="G1047" s="4" t="s">
        <v>4692</v>
      </c>
      <c r="H1047" s="4" t="s">
        <v>84</v>
      </c>
      <c r="I1047" s="4">
        <v>67</v>
      </c>
      <c r="J1047" s="4" t="s">
        <v>105</v>
      </c>
      <c r="K1047" s="12" t="s">
        <v>106</v>
      </c>
      <c r="L1047" s="12" t="s">
        <v>3380</v>
      </c>
      <c r="M1047" s="12" t="s">
        <v>4503</v>
      </c>
      <c r="N1047" s="12" t="s">
        <v>67</v>
      </c>
      <c r="O1047" s="12" t="s">
        <v>2900</v>
      </c>
      <c r="P1047" s="12" t="s">
        <v>4504</v>
      </c>
      <c r="Q1047" s="12" t="s">
        <v>1720</v>
      </c>
      <c r="R1047" s="12">
        <v>70</v>
      </c>
      <c r="S1047" s="12" t="s">
        <v>4520</v>
      </c>
      <c r="T1047" s="12" t="s">
        <v>4506</v>
      </c>
      <c r="U1047" s="12" t="s">
        <v>142</v>
      </c>
      <c r="V1047" s="12" t="s">
        <v>74</v>
      </c>
      <c r="W1047" s="12" t="s">
        <v>257</v>
      </c>
      <c r="X1047" s="12" t="s">
        <v>4731</v>
      </c>
      <c r="Y1047" s="12">
        <v>0</v>
      </c>
      <c r="Z1047" s="12">
        <v>0</v>
      </c>
      <c r="AA1047" s="257" t="s">
        <v>4508</v>
      </c>
      <c r="AB1047" s="12" t="s">
        <v>114</v>
      </c>
      <c r="AC1047" s="266" t="str">
        <f>HYPERLINK("https://gcsvt.ru/svetodiodnyie-svetilniki/svt-str-var-cob-180w-60/","Ссылка")</f>
        <v>Ссылка</v>
      </c>
      <c r="AD1047" s="88">
        <v>27234</v>
      </c>
    </row>
    <row r="1048" spans="1:30" s="161" customFormat="1" ht="39.950000000000003" hidden="1" customHeight="1" outlineLevel="1" x14ac:dyDescent="0.25">
      <c r="A1048" s="171"/>
      <c r="B1048" s="21" t="s">
        <v>4701</v>
      </c>
      <c r="C1048" s="159" t="s">
        <v>4524</v>
      </c>
      <c r="D1048" s="4">
        <v>27000</v>
      </c>
      <c r="E1048" s="4">
        <v>180</v>
      </c>
      <c r="F1048" s="4">
        <v>150</v>
      </c>
      <c r="G1048" s="4" t="s">
        <v>4693</v>
      </c>
      <c r="H1048" s="4" t="s">
        <v>1617</v>
      </c>
      <c r="I1048" s="4">
        <v>67</v>
      </c>
      <c r="J1048" s="4" t="s">
        <v>105</v>
      </c>
      <c r="K1048" s="100" t="s">
        <v>106</v>
      </c>
      <c r="L1048" s="100" t="s">
        <v>3380</v>
      </c>
      <c r="M1048" s="100" t="s">
        <v>4503</v>
      </c>
      <c r="N1048" s="100" t="s">
        <v>67</v>
      </c>
      <c r="O1048" s="100" t="s">
        <v>2900</v>
      </c>
      <c r="P1048" s="100" t="s">
        <v>4504</v>
      </c>
      <c r="Q1048" s="100" t="s">
        <v>1720</v>
      </c>
      <c r="R1048" s="100">
        <v>70</v>
      </c>
      <c r="S1048" s="100" t="s">
        <v>4520</v>
      </c>
      <c r="T1048" s="100" t="s">
        <v>4506</v>
      </c>
      <c r="U1048" s="100" t="s">
        <v>142</v>
      </c>
      <c r="V1048" s="100" t="s">
        <v>74</v>
      </c>
      <c r="W1048" s="100" t="s">
        <v>257</v>
      </c>
      <c r="X1048" s="100" t="s">
        <v>4731</v>
      </c>
      <c r="Y1048" s="100">
        <v>0</v>
      </c>
      <c r="Z1048" s="100">
        <v>0</v>
      </c>
      <c r="AA1048" s="260" t="s">
        <v>4508</v>
      </c>
      <c r="AB1048" s="100" t="s">
        <v>114</v>
      </c>
      <c r="AC1048" s="266" t="str">
        <f>HYPERLINK("https://gcsvt.ru/svetodiodnyie-svetilniki/svt-str-var-cob-180w-90/","Ссылка")</f>
        <v>Ссылка</v>
      </c>
      <c r="AD1048" s="88">
        <v>27234</v>
      </c>
    </row>
    <row r="1049" spans="1:30" s="161" customFormat="1" ht="39.950000000000003" hidden="1" customHeight="1" outlineLevel="1" x14ac:dyDescent="0.25">
      <c r="A1049" s="171"/>
      <c r="B1049" s="21" t="s">
        <v>4701</v>
      </c>
      <c r="C1049" s="159" t="s">
        <v>4525</v>
      </c>
      <c r="D1049" s="4">
        <v>27000</v>
      </c>
      <c r="E1049" s="4">
        <v>180</v>
      </c>
      <c r="F1049" s="4">
        <v>150</v>
      </c>
      <c r="G1049" s="4" t="s">
        <v>4694</v>
      </c>
      <c r="H1049" s="4" t="s">
        <v>138</v>
      </c>
      <c r="I1049" s="4">
        <v>67</v>
      </c>
      <c r="J1049" s="4" t="s">
        <v>105</v>
      </c>
      <c r="K1049" s="12" t="s">
        <v>106</v>
      </c>
      <c r="L1049" s="12" t="s">
        <v>3380</v>
      </c>
      <c r="M1049" s="12" t="s">
        <v>4503</v>
      </c>
      <c r="N1049" s="12" t="s">
        <v>67</v>
      </c>
      <c r="O1049" s="12" t="s">
        <v>2900</v>
      </c>
      <c r="P1049" s="12" t="s">
        <v>4504</v>
      </c>
      <c r="Q1049" s="12" t="s">
        <v>1720</v>
      </c>
      <c r="R1049" s="12">
        <v>70</v>
      </c>
      <c r="S1049" s="12" t="s">
        <v>4520</v>
      </c>
      <c r="T1049" s="12" t="s">
        <v>4506</v>
      </c>
      <c r="U1049" s="12" t="s">
        <v>142</v>
      </c>
      <c r="V1049" s="12" t="s">
        <v>74</v>
      </c>
      <c r="W1049" s="12" t="s">
        <v>257</v>
      </c>
      <c r="X1049" s="12" t="s">
        <v>4731</v>
      </c>
      <c r="Y1049" s="12">
        <v>0</v>
      </c>
      <c r="Z1049" s="12">
        <v>0</v>
      </c>
      <c r="AA1049" s="257" t="s">
        <v>4508</v>
      </c>
      <c r="AB1049" s="12" t="s">
        <v>114</v>
      </c>
      <c r="AC1049" s="266" t="str">
        <f>HYPERLINK("https://gcsvt.ru/svetodiodnyie-svetilniki/svt-str-var-cob-180w-120/","Ссылка")</f>
        <v>Ссылка</v>
      </c>
      <c r="AD1049" s="88">
        <v>27234</v>
      </c>
    </row>
    <row r="1050" spans="1:30" s="161" customFormat="1" ht="39.950000000000003" hidden="1" customHeight="1" outlineLevel="1" x14ac:dyDescent="0.25">
      <c r="A1050" s="171"/>
      <c r="B1050" s="21" t="s">
        <v>4701</v>
      </c>
      <c r="C1050" s="159" t="s">
        <v>4739</v>
      </c>
      <c r="D1050" s="4">
        <v>36000</v>
      </c>
      <c r="E1050" s="4">
        <v>240</v>
      </c>
      <c r="F1050" s="4">
        <v>150</v>
      </c>
      <c r="G1050" s="4" t="s">
        <v>4695</v>
      </c>
      <c r="H1050" s="4" t="s">
        <v>1578</v>
      </c>
      <c r="I1050" s="4">
        <v>67</v>
      </c>
      <c r="J1050" s="4" t="s">
        <v>105</v>
      </c>
      <c r="K1050" s="100" t="s">
        <v>106</v>
      </c>
      <c r="L1050" s="100" t="s">
        <v>3380</v>
      </c>
      <c r="M1050" s="100" t="s">
        <v>4503</v>
      </c>
      <c r="N1050" s="100" t="s">
        <v>67</v>
      </c>
      <c r="O1050" s="100" t="s">
        <v>2900</v>
      </c>
      <c r="P1050" s="100" t="s">
        <v>4504</v>
      </c>
      <c r="Q1050" s="100" t="s">
        <v>2288</v>
      </c>
      <c r="R1050" s="100">
        <v>70</v>
      </c>
      <c r="S1050" s="100" t="s">
        <v>4526</v>
      </c>
      <c r="T1050" s="100" t="s">
        <v>4506</v>
      </c>
      <c r="U1050" s="100" t="s">
        <v>142</v>
      </c>
      <c r="V1050" s="100" t="s">
        <v>74</v>
      </c>
      <c r="W1050" s="100" t="s">
        <v>4507</v>
      </c>
      <c r="X1050" s="100"/>
      <c r="Y1050" s="100">
        <v>0</v>
      </c>
      <c r="Z1050" s="100">
        <v>0</v>
      </c>
      <c r="AA1050" s="260" t="s">
        <v>4508</v>
      </c>
      <c r="AB1050" s="100" t="s">
        <v>114</v>
      </c>
      <c r="AC1050" s="266" t="str">
        <f>HYPERLINK("https://gcsvt.ru/svetodiodnyie-svetilniki/svt-str-var-cob-240w-135x75-c/","Ссылка")</f>
        <v>Ссылка</v>
      </c>
      <c r="AD1050" s="88">
        <v>32870</v>
      </c>
    </row>
    <row r="1051" spans="1:30" s="161" customFormat="1" ht="39.950000000000003" hidden="1" customHeight="1" outlineLevel="1" x14ac:dyDescent="0.25">
      <c r="A1051" s="171"/>
      <c r="B1051" s="21" t="s">
        <v>4701</v>
      </c>
      <c r="C1051" s="159" t="s">
        <v>4527</v>
      </c>
      <c r="D1051" s="4">
        <v>36000</v>
      </c>
      <c r="E1051" s="4">
        <v>240</v>
      </c>
      <c r="F1051" s="4">
        <v>150</v>
      </c>
      <c r="G1051" s="4" t="s">
        <v>4696</v>
      </c>
      <c r="H1051" s="4" t="s">
        <v>2899</v>
      </c>
      <c r="I1051" s="4">
        <v>67</v>
      </c>
      <c r="J1051" s="4" t="s">
        <v>105</v>
      </c>
      <c r="K1051" s="12" t="s">
        <v>106</v>
      </c>
      <c r="L1051" s="12" t="s">
        <v>3380</v>
      </c>
      <c r="M1051" s="12" t="s">
        <v>4503</v>
      </c>
      <c r="N1051" s="12" t="s">
        <v>67</v>
      </c>
      <c r="O1051" s="12" t="s">
        <v>2900</v>
      </c>
      <c r="P1051" s="12" t="s">
        <v>4504</v>
      </c>
      <c r="Q1051" s="12" t="s">
        <v>1720</v>
      </c>
      <c r="R1051" s="12">
        <v>70</v>
      </c>
      <c r="S1051" s="12" t="s">
        <v>4526</v>
      </c>
      <c r="T1051" s="12" t="s">
        <v>4506</v>
      </c>
      <c r="U1051" s="12" t="s">
        <v>142</v>
      </c>
      <c r="V1051" s="12" t="s">
        <v>74</v>
      </c>
      <c r="W1051" s="12" t="s">
        <v>257</v>
      </c>
      <c r="X1051" s="12" t="s">
        <v>4732</v>
      </c>
      <c r="Y1051" s="12">
        <v>0</v>
      </c>
      <c r="Z1051" s="12">
        <v>0</v>
      </c>
      <c r="AA1051" s="257" t="s">
        <v>4508</v>
      </c>
      <c r="AB1051" s="12" t="s">
        <v>114</v>
      </c>
      <c r="AC1051" s="266" t="str">
        <f>HYPERLINK("https://gcsvt.ru/svetodiodnyie-svetilniki/svt-str-var-cob-240w-38/","Ссылка")</f>
        <v>Ссылка</v>
      </c>
      <c r="AD1051" s="88">
        <v>32870</v>
      </c>
    </row>
    <row r="1052" spans="1:30" s="161" customFormat="1" ht="39.950000000000003" hidden="1" customHeight="1" outlineLevel="1" x14ac:dyDescent="0.25">
      <c r="A1052" s="171"/>
      <c r="B1052" s="21" t="s">
        <v>4701</v>
      </c>
      <c r="C1052" s="159" t="s">
        <v>4528</v>
      </c>
      <c r="D1052" s="4">
        <v>36000</v>
      </c>
      <c r="E1052" s="4">
        <v>240</v>
      </c>
      <c r="F1052" s="4">
        <v>150</v>
      </c>
      <c r="G1052" s="4" t="s">
        <v>4697</v>
      </c>
      <c r="H1052" s="4" t="s">
        <v>1577</v>
      </c>
      <c r="I1052" s="4">
        <v>67</v>
      </c>
      <c r="J1052" s="4" t="s">
        <v>105</v>
      </c>
      <c r="K1052" s="100" t="s">
        <v>106</v>
      </c>
      <c r="L1052" s="100" t="s">
        <v>3380</v>
      </c>
      <c r="M1052" s="100" t="s">
        <v>4503</v>
      </c>
      <c r="N1052" s="100" t="s">
        <v>67</v>
      </c>
      <c r="O1052" s="100" t="s">
        <v>2900</v>
      </c>
      <c r="P1052" s="100" t="s">
        <v>4504</v>
      </c>
      <c r="Q1052" s="100" t="s">
        <v>1720</v>
      </c>
      <c r="R1052" s="100">
        <v>70</v>
      </c>
      <c r="S1052" s="100" t="s">
        <v>4526</v>
      </c>
      <c r="T1052" s="100" t="s">
        <v>4506</v>
      </c>
      <c r="U1052" s="100" t="s">
        <v>142</v>
      </c>
      <c r="V1052" s="100" t="s">
        <v>74</v>
      </c>
      <c r="W1052" s="100" t="s">
        <v>257</v>
      </c>
      <c r="X1052" s="100" t="s">
        <v>4732</v>
      </c>
      <c r="Y1052" s="100">
        <v>0</v>
      </c>
      <c r="Z1052" s="100">
        <v>0</v>
      </c>
      <c r="AA1052" s="260" t="s">
        <v>4508</v>
      </c>
      <c r="AB1052" s="100" t="s">
        <v>114</v>
      </c>
      <c r="AC1052" s="266" t="str">
        <f>HYPERLINK("https://gcsvt.ru/svetodiodnyie-svetilniki/svt-str-var-cob-240w-45/","Ссылка")</f>
        <v>Ссылка</v>
      </c>
      <c r="AD1052" s="88">
        <v>32870</v>
      </c>
    </row>
    <row r="1053" spans="1:30" s="161" customFormat="1" ht="39.950000000000003" hidden="1" customHeight="1" outlineLevel="1" x14ac:dyDescent="0.25">
      <c r="A1053" s="171"/>
      <c r="B1053" s="21" t="s">
        <v>4701</v>
      </c>
      <c r="C1053" s="159" t="s">
        <v>4529</v>
      </c>
      <c r="D1053" s="4">
        <v>36000</v>
      </c>
      <c r="E1053" s="4">
        <v>240</v>
      </c>
      <c r="F1053" s="4">
        <v>150</v>
      </c>
      <c r="G1053" s="4" t="s">
        <v>4698</v>
      </c>
      <c r="H1053" s="4" t="s">
        <v>84</v>
      </c>
      <c r="I1053" s="4">
        <v>67</v>
      </c>
      <c r="J1053" s="4" t="s">
        <v>105</v>
      </c>
      <c r="K1053" s="12" t="s">
        <v>106</v>
      </c>
      <c r="L1053" s="12" t="s">
        <v>3380</v>
      </c>
      <c r="M1053" s="12" t="s">
        <v>4503</v>
      </c>
      <c r="N1053" s="12" t="s">
        <v>67</v>
      </c>
      <c r="O1053" s="12" t="s">
        <v>2900</v>
      </c>
      <c r="P1053" s="12" t="s">
        <v>4504</v>
      </c>
      <c r="Q1053" s="12" t="s">
        <v>1720</v>
      </c>
      <c r="R1053" s="12">
        <v>70</v>
      </c>
      <c r="S1053" s="12" t="s">
        <v>4526</v>
      </c>
      <c r="T1053" s="12" t="s">
        <v>4506</v>
      </c>
      <c r="U1053" s="12" t="s">
        <v>142</v>
      </c>
      <c r="V1053" s="12" t="s">
        <v>74</v>
      </c>
      <c r="W1053" s="12" t="s">
        <v>257</v>
      </c>
      <c r="X1053" s="12" t="s">
        <v>4732</v>
      </c>
      <c r="Y1053" s="12">
        <v>0</v>
      </c>
      <c r="Z1053" s="12">
        <v>0</v>
      </c>
      <c r="AA1053" s="257" t="s">
        <v>4508</v>
      </c>
      <c r="AB1053" s="12" t="s">
        <v>114</v>
      </c>
      <c r="AC1053" s="266" t="str">
        <f>HYPERLINK("https://gcsvt.ru/svetodiodnyie-svetilniki/svt-str-var-cob-240w-60/","Ссылка")</f>
        <v>Ссылка</v>
      </c>
      <c r="AD1053" s="88">
        <v>32870</v>
      </c>
    </row>
    <row r="1054" spans="1:30" s="161" customFormat="1" ht="39.950000000000003" hidden="1" customHeight="1" outlineLevel="1" x14ac:dyDescent="0.25">
      <c r="A1054" s="171"/>
      <c r="B1054" s="21" t="s">
        <v>4701</v>
      </c>
      <c r="C1054" s="159" t="s">
        <v>4530</v>
      </c>
      <c r="D1054" s="4">
        <v>36000</v>
      </c>
      <c r="E1054" s="4">
        <v>240</v>
      </c>
      <c r="F1054" s="4">
        <v>150</v>
      </c>
      <c r="G1054" s="4" t="s">
        <v>4699</v>
      </c>
      <c r="H1054" s="4" t="s">
        <v>1617</v>
      </c>
      <c r="I1054" s="4">
        <v>67</v>
      </c>
      <c r="J1054" s="4" t="s">
        <v>105</v>
      </c>
      <c r="K1054" s="100" t="s">
        <v>106</v>
      </c>
      <c r="L1054" s="100" t="s">
        <v>3380</v>
      </c>
      <c r="M1054" s="100" t="s">
        <v>4503</v>
      </c>
      <c r="N1054" s="100" t="s">
        <v>67</v>
      </c>
      <c r="O1054" s="100" t="s">
        <v>2900</v>
      </c>
      <c r="P1054" s="100" t="s">
        <v>4504</v>
      </c>
      <c r="Q1054" s="100" t="s">
        <v>1720</v>
      </c>
      <c r="R1054" s="100">
        <v>70</v>
      </c>
      <c r="S1054" s="100" t="s">
        <v>4526</v>
      </c>
      <c r="T1054" s="100" t="s">
        <v>4506</v>
      </c>
      <c r="U1054" s="100" t="s">
        <v>142</v>
      </c>
      <c r="V1054" s="100" t="s">
        <v>74</v>
      </c>
      <c r="W1054" s="100" t="s">
        <v>257</v>
      </c>
      <c r="X1054" s="100" t="s">
        <v>4732</v>
      </c>
      <c r="Y1054" s="100">
        <v>0</v>
      </c>
      <c r="Z1054" s="100">
        <v>0</v>
      </c>
      <c r="AA1054" s="260" t="s">
        <v>4508</v>
      </c>
      <c r="AB1054" s="100" t="s">
        <v>114</v>
      </c>
      <c r="AC1054" s="266" t="str">
        <f>HYPERLINK("https://gcsvt.ru/svetodiodnyie-svetilniki/svt-str-var-cob-240w-90/","Ссылка")</f>
        <v>Ссылка</v>
      </c>
      <c r="AD1054" s="88">
        <v>32870</v>
      </c>
    </row>
    <row r="1055" spans="1:30" s="161" customFormat="1" ht="39.950000000000003" hidden="1" customHeight="1" outlineLevel="1" x14ac:dyDescent="0.25">
      <c r="A1055" s="171"/>
      <c r="B1055" s="21" t="s">
        <v>4701</v>
      </c>
      <c r="C1055" s="159" t="s">
        <v>4531</v>
      </c>
      <c r="D1055" s="4">
        <v>36000</v>
      </c>
      <c r="E1055" s="4">
        <v>240</v>
      </c>
      <c r="F1055" s="4">
        <v>150</v>
      </c>
      <c r="G1055" s="4" t="s">
        <v>4700</v>
      </c>
      <c r="H1055" s="4" t="s">
        <v>138</v>
      </c>
      <c r="I1055" s="4">
        <v>67</v>
      </c>
      <c r="J1055" s="4" t="s">
        <v>105</v>
      </c>
      <c r="K1055" s="12" t="s">
        <v>106</v>
      </c>
      <c r="L1055" s="12" t="s">
        <v>3380</v>
      </c>
      <c r="M1055" s="12" t="s">
        <v>4503</v>
      </c>
      <c r="N1055" s="12" t="s">
        <v>67</v>
      </c>
      <c r="O1055" s="12" t="s">
        <v>2900</v>
      </c>
      <c r="P1055" s="12" t="s">
        <v>4504</v>
      </c>
      <c r="Q1055" s="12" t="s">
        <v>1720</v>
      </c>
      <c r="R1055" s="12">
        <v>70</v>
      </c>
      <c r="S1055" s="12" t="s">
        <v>4526</v>
      </c>
      <c r="T1055" s="12" t="s">
        <v>4506</v>
      </c>
      <c r="U1055" s="12" t="s">
        <v>142</v>
      </c>
      <c r="V1055" s="12" t="s">
        <v>74</v>
      </c>
      <c r="W1055" s="12" t="s">
        <v>257</v>
      </c>
      <c r="X1055" s="12" t="s">
        <v>4732</v>
      </c>
      <c r="Y1055" s="12">
        <v>0</v>
      </c>
      <c r="Z1055" s="12">
        <v>0</v>
      </c>
      <c r="AA1055" s="257" t="s">
        <v>4508</v>
      </c>
      <c r="AB1055" s="12" t="s">
        <v>114</v>
      </c>
      <c r="AC1055" s="266" t="str">
        <f>HYPERLINK("https://gcsvt.ru/svetodiodnyie-svetilniki/svt-str-var-cob-240w-120/","Ссылка")</f>
        <v>Ссылка</v>
      </c>
      <c r="AD1055" s="88">
        <v>32870</v>
      </c>
    </row>
    <row r="1056" spans="1:30" s="161" customFormat="1" ht="39.950000000000003" hidden="1" customHeight="1" outlineLevel="1" x14ac:dyDescent="0.25">
      <c r="A1056" s="171"/>
      <c r="B1056" s="47" t="s">
        <v>4618</v>
      </c>
      <c r="C1056" s="264"/>
      <c r="D1056" s="259"/>
      <c r="E1056" s="259"/>
      <c r="F1056" s="259"/>
      <c r="G1056" s="259"/>
      <c r="H1056" s="259"/>
      <c r="I1056" s="259"/>
      <c r="J1056" s="259"/>
      <c r="K1056" s="259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256"/>
      <c r="AB1056" s="8"/>
      <c r="AC1056" s="261"/>
      <c r="AD1056" s="88"/>
    </row>
    <row r="1057" spans="1:30" s="161" customFormat="1" ht="39.950000000000003" customHeight="1" collapsed="1" x14ac:dyDescent="0.25">
      <c r="A1057" s="185"/>
      <c r="B1057" s="195" t="s">
        <v>4623</v>
      </c>
      <c r="C1057" s="202"/>
      <c r="D1057" s="163"/>
      <c r="E1057" s="163"/>
      <c r="F1057" s="163"/>
      <c r="G1057" s="163"/>
      <c r="H1057" s="163"/>
      <c r="I1057" s="163"/>
      <c r="J1057" s="163"/>
      <c r="K1057" s="75"/>
      <c r="L1057" s="163"/>
      <c r="M1057" s="75"/>
      <c r="N1057" s="163"/>
      <c r="O1057" s="75"/>
      <c r="P1057" s="163"/>
      <c r="Q1057" s="75"/>
      <c r="R1057" s="163"/>
      <c r="S1057" s="163"/>
      <c r="T1057" s="163"/>
      <c r="U1057" s="163"/>
      <c r="V1057" s="75"/>
      <c r="W1057" s="75"/>
      <c r="X1057" s="163"/>
      <c r="Y1057" s="163"/>
      <c r="Z1057" s="163"/>
      <c r="AA1057" s="163"/>
      <c r="AB1057" s="163"/>
      <c r="AC1057" s="227"/>
      <c r="AD1057" s="164"/>
    </row>
    <row r="1058" spans="1:30" s="161" customFormat="1" ht="39.950000000000003" hidden="1" customHeight="1" outlineLevel="1" x14ac:dyDescent="0.25">
      <c r="A1058" s="150"/>
      <c r="B1058" s="21" t="s">
        <v>1686</v>
      </c>
      <c r="C1058" s="234" t="s">
        <v>3882</v>
      </c>
      <c r="D1058" s="161">
        <v>3600</v>
      </c>
      <c r="E1058" s="161">
        <v>31</v>
      </c>
      <c r="F1058" s="161">
        <v>116</v>
      </c>
      <c r="G1058" s="161" t="s">
        <v>3884</v>
      </c>
      <c r="H1058" s="161" t="s">
        <v>138</v>
      </c>
      <c r="I1058" s="161">
        <v>65</v>
      </c>
      <c r="J1058" s="161" t="s">
        <v>105</v>
      </c>
      <c r="K1058" s="21" t="s">
        <v>106</v>
      </c>
      <c r="L1058" s="161" t="s">
        <v>3380</v>
      </c>
      <c r="M1058" s="21" t="s">
        <v>1619</v>
      </c>
      <c r="N1058" s="161" t="s">
        <v>67</v>
      </c>
      <c r="O1058" s="21" t="s">
        <v>1630</v>
      </c>
      <c r="P1058" s="161" t="s">
        <v>109</v>
      </c>
      <c r="Q1058" s="21" t="s">
        <v>70</v>
      </c>
      <c r="R1058" s="161">
        <v>80</v>
      </c>
      <c r="S1058" s="161" t="s">
        <v>3883</v>
      </c>
      <c r="T1058" s="161" t="s">
        <v>1768</v>
      </c>
      <c r="U1058" s="161" t="s">
        <v>73</v>
      </c>
      <c r="V1058" s="21" t="s">
        <v>1693</v>
      </c>
      <c r="W1058" s="21" t="s">
        <v>3903</v>
      </c>
      <c r="X1058" s="161" t="s">
        <v>3360</v>
      </c>
      <c r="Y1058" s="161">
        <v>1.7999999999999999E-2</v>
      </c>
      <c r="Z1058" s="161">
        <v>2.1</v>
      </c>
      <c r="AA1058" s="161" t="s">
        <v>77</v>
      </c>
      <c r="AB1058" s="161" t="s">
        <v>114</v>
      </c>
      <c r="AC1058" s="266" t="str">
        <f>HYPERLINK("https://gcsvt.ru/svetodiodnyie-svetilniki/svt-p-i-1200-31w-m/","Ссылка")</f>
        <v>Ссылка</v>
      </c>
      <c r="AD1058" s="167">
        <v>2941</v>
      </c>
    </row>
    <row r="1059" spans="1:30" s="161" customFormat="1" ht="39.950000000000003" hidden="1" customHeight="1" outlineLevel="1" x14ac:dyDescent="0.25">
      <c r="A1059" s="171"/>
      <c r="B1059" s="21" t="s">
        <v>1686</v>
      </c>
      <c r="C1059" s="234" t="s">
        <v>3288</v>
      </c>
      <c r="D1059" s="161">
        <v>4180</v>
      </c>
      <c r="E1059" s="161">
        <v>36</v>
      </c>
      <c r="F1059" s="161">
        <v>116</v>
      </c>
      <c r="G1059" s="161" t="s">
        <v>3282</v>
      </c>
      <c r="H1059" s="161" t="s">
        <v>138</v>
      </c>
      <c r="I1059" s="161">
        <v>65</v>
      </c>
      <c r="J1059" s="161" t="s">
        <v>105</v>
      </c>
      <c r="K1059" s="21" t="s">
        <v>106</v>
      </c>
      <c r="L1059" s="161" t="s">
        <v>3380</v>
      </c>
      <c r="M1059" s="21" t="s">
        <v>1619</v>
      </c>
      <c r="N1059" s="161" t="s">
        <v>67</v>
      </c>
      <c r="O1059" s="21" t="s">
        <v>1630</v>
      </c>
      <c r="P1059" s="161" t="s">
        <v>109</v>
      </c>
      <c r="Q1059" s="21" t="s">
        <v>70</v>
      </c>
      <c r="R1059" s="161">
        <v>80</v>
      </c>
      <c r="S1059" s="161" t="s">
        <v>3883</v>
      </c>
      <c r="T1059" s="161" t="s">
        <v>1768</v>
      </c>
      <c r="U1059" s="161" t="s">
        <v>73</v>
      </c>
      <c r="V1059" s="21" t="s">
        <v>1693</v>
      </c>
      <c r="W1059" s="21" t="s">
        <v>1694</v>
      </c>
      <c r="X1059" s="161" t="s">
        <v>3360</v>
      </c>
      <c r="Y1059" s="161">
        <v>1.7999999999999999E-2</v>
      </c>
      <c r="Z1059" s="161">
        <v>2.1</v>
      </c>
      <c r="AA1059" s="161" t="s">
        <v>77</v>
      </c>
      <c r="AB1059" s="161" t="s">
        <v>114</v>
      </c>
      <c r="AC1059" s="266" t="str">
        <f>HYPERLINK("https://gcsvt.ru/svetodiodnyie-svetilniki/svt-p-i-1200-36w-m/","Ссылка")</f>
        <v>Ссылка</v>
      </c>
      <c r="AD1059" s="167">
        <v>3009</v>
      </c>
    </row>
    <row r="1060" spans="1:30" s="161" customFormat="1" ht="39.950000000000003" hidden="1" customHeight="1" outlineLevel="1" x14ac:dyDescent="0.25">
      <c r="A1060" s="171"/>
      <c r="B1060" s="21" t="s">
        <v>1627</v>
      </c>
      <c r="C1060" s="157" t="s">
        <v>1660</v>
      </c>
      <c r="D1060" s="168">
        <v>1440</v>
      </c>
      <c r="E1060" s="161">
        <v>12</v>
      </c>
      <c r="F1060" s="161">
        <v>120</v>
      </c>
      <c r="G1060" s="161" t="s">
        <v>1661</v>
      </c>
      <c r="H1060" s="161" t="s">
        <v>138</v>
      </c>
      <c r="I1060" s="161">
        <v>65</v>
      </c>
      <c r="J1060" s="161" t="s">
        <v>389</v>
      </c>
      <c r="K1060" s="21" t="s">
        <v>106</v>
      </c>
      <c r="L1060" s="161" t="s">
        <v>1618</v>
      </c>
      <c r="M1060" s="21" t="s">
        <v>506</v>
      </c>
      <c r="N1060" s="161" t="s">
        <v>108</v>
      </c>
      <c r="O1060" s="21" t="s">
        <v>1630</v>
      </c>
      <c r="P1060" s="161" t="s">
        <v>109</v>
      </c>
      <c r="Q1060" s="21" t="s">
        <v>70</v>
      </c>
      <c r="R1060" s="161">
        <v>80</v>
      </c>
      <c r="S1060" s="161" t="s">
        <v>1554</v>
      </c>
      <c r="T1060" s="161" t="s">
        <v>1555</v>
      </c>
      <c r="U1060" s="161" t="s">
        <v>73</v>
      </c>
      <c r="V1060" s="21" t="s">
        <v>1632</v>
      </c>
      <c r="W1060" s="21" t="s">
        <v>1633</v>
      </c>
      <c r="X1060" s="161" t="s">
        <v>1662</v>
      </c>
      <c r="Y1060" s="161">
        <v>1.2999999999999999E-2</v>
      </c>
      <c r="Z1060" s="161">
        <v>0.6</v>
      </c>
      <c r="AA1060" s="161" t="s">
        <v>77</v>
      </c>
      <c r="AB1060" s="161" t="s">
        <v>114</v>
      </c>
      <c r="AC1060" s="266" t="str">
        <f>HYPERLINK("https://gcsvt.ru/svetodiodnyie-svetilniki/svt-p-i-v2-300-12w-ip65-m/","Ссылка")</f>
        <v>Ссылка</v>
      </c>
      <c r="AD1060" s="167">
        <v>2142</v>
      </c>
    </row>
    <row r="1061" spans="1:30" s="161" customFormat="1" ht="39.950000000000003" hidden="1" customHeight="1" outlineLevel="1" x14ac:dyDescent="0.25">
      <c r="A1061" s="171"/>
      <c r="B1061" s="21" t="s">
        <v>1627</v>
      </c>
      <c r="C1061" s="157" t="s">
        <v>3382</v>
      </c>
      <c r="D1061" s="168">
        <v>1875</v>
      </c>
      <c r="E1061" s="161">
        <v>15</v>
      </c>
      <c r="F1061" s="161">
        <v>125</v>
      </c>
      <c r="G1061" s="161" t="s">
        <v>3383</v>
      </c>
      <c r="H1061" s="161" t="s">
        <v>138</v>
      </c>
      <c r="I1061" s="161">
        <v>65</v>
      </c>
      <c r="J1061" s="161" t="s">
        <v>389</v>
      </c>
      <c r="K1061" s="21" t="s">
        <v>106</v>
      </c>
      <c r="L1061" s="161" t="s">
        <v>3380</v>
      </c>
      <c r="M1061" s="21" t="s">
        <v>2107</v>
      </c>
      <c r="N1061" s="161" t="s">
        <v>67</v>
      </c>
      <c r="O1061" s="21" t="s">
        <v>1630</v>
      </c>
      <c r="P1061" s="161" t="s">
        <v>109</v>
      </c>
      <c r="Q1061" s="21" t="s">
        <v>70</v>
      </c>
      <c r="R1061" s="161">
        <v>80</v>
      </c>
      <c r="S1061" s="161" t="s">
        <v>3385</v>
      </c>
      <c r="T1061" s="161" t="s">
        <v>141</v>
      </c>
      <c r="U1061" s="161" t="s">
        <v>73</v>
      </c>
      <c r="V1061" s="21" t="s">
        <v>1632</v>
      </c>
      <c r="W1061" s="21" t="s">
        <v>1633</v>
      </c>
      <c r="X1061" s="161" t="s">
        <v>3384</v>
      </c>
      <c r="Y1061" s="161">
        <v>5.4599999999999996E-3</v>
      </c>
      <c r="Z1061" s="161">
        <v>0.8</v>
      </c>
      <c r="AA1061" s="161" t="s">
        <v>77</v>
      </c>
      <c r="AB1061" s="161" t="s">
        <v>114</v>
      </c>
      <c r="AC1061" s="266" t="str">
        <f>HYPERLINK("https://gcsvt.ru/svetodiodnyie-svetilniki/svt-p-i-v2-400-18w-ip65-m/","Ссылка")</f>
        <v>Ссылка</v>
      </c>
      <c r="AD1061" s="167">
        <v>2516</v>
      </c>
    </row>
    <row r="1062" spans="1:30" s="161" customFormat="1" ht="39.950000000000003" hidden="1" customHeight="1" outlineLevel="1" x14ac:dyDescent="0.25">
      <c r="A1062" s="171"/>
      <c r="B1062" s="21" t="s">
        <v>1627</v>
      </c>
      <c r="C1062" s="157" t="s">
        <v>1663</v>
      </c>
      <c r="D1062" s="168">
        <v>2640</v>
      </c>
      <c r="E1062" s="161">
        <v>22</v>
      </c>
      <c r="F1062" s="161">
        <v>120</v>
      </c>
      <c r="G1062" s="161" t="s">
        <v>1664</v>
      </c>
      <c r="H1062" s="161" t="s">
        <v>138</v>
      </c>
      <c r="I1062" s="161">
        <v>65</v>
      </c>
      <c r="J1062" s="161" t="s">
        <v>389</v>
      </c>
      <c r="K1062" s="21" t="s">
        <v>106</v>
      </c>
      <c r="L1062" s="161" t="s">
        <v>1618</v>
      </c>
      <c r="M1062" s="21" t="s">
        <v>568</v>
      </c>
      <c r="N1062" s="161" t="s">
        <v>67</v>
      </c>
      <c r="O1062" s="21" t="s">
        <v>1630</v>
      </c>
      <c r="P1062" s="161" t="s">
        <v>109</v>
      </c>
      <c r="Q1062" s="21" t="s">
        <v>70</v>
      </c>
      <c r="R1062" s="161">
        <v>80</v>
      </c>
      <c r="S1062" s="161" t="s">
        <v>1560</v>
      </c>
      <c r="T1062" s="161" t="s">
        <v>1555</v>
      </c>
      <c r="U1062" s="161" t="s">
        <v>73</v>
      </c>
      <c r="V1062" s="21" t="s">
        <v>1632</v>
      </c>
      <c r="W1062" s="21" t="s">
        <v>1633</v>
      </c>
      <c r="X1062" s="161" t="s">
        <v>1665</v>
      </c>
      <c r="Y1062" s="161">
        <v>1.2999999999999999E-2</v>
      </c>
      <c r="Z1062" s="161">
        <v>0.8</v>
      </c>
      <c r="AA1062" s="161" t="s">
        <v>77</v>
      </c>
      <c r="AB1062" s="161" t="s">
        <v>114</v>
      </c>
      <c r="AC1062" s="266" t="str">
        <f>HYPERLINK("https://gcsvt.ru/svetodiodnyie-svetilniki/svt-p-i-v2-600-24w-ip65-m/","Ссылка")</f>
        <v>Ссылка</v>
      </c>
      <c r="AD1062" s="167">
        <v>3086</v>
      </c>
    </row>
    <row r="1063" spans="1:30" s="161" customFormat="1" ht="39.950000000000003" hidden="1" customHeight="1" outlineLevel="1" x14ac:dyDescent="0.25">
      <c r="A1063" s="171"/>
      <c r="B1063" s="21" t="s">
        <v>1627</v>
      </c>
      <c r="C1063" s="157" t="s">
        <v>1666</v>
      </c>
      <c r="D1063" s="168">
        <v>4320</v>
      </c>
      <c r="E1063" s="161">
        <v>36</v>
      </c>
      <c r="F1063" s="161">
        <v>120</v>
      </c>
      <c r="G1063" s="161" t="s">
        <v>1667</v>
      </c>
      <c r="H1063" s="161" t="s">
        <v>138</v>
      </c>
      <c r="I1063" s="161">
        <v>65</v>
      </c>
      <c r="J1063" s="161" t="s">
        <v>389</v>
      </c>
      <c r="K1063" s="21" t="s">
        <v>106</v>
      </c>
      <c r="L1063" s="161" t="s">
        <v>1618</v>
      </c>
      <c r="M1063" s="21" t="s">
        <v>568</v>
      </c>
      <c r="N1063" s="161" t="s">
        <v>67</v>
      </c>
      <c r="O1063" s="21" t="s">
        <v>1630</v>
      </c>
      <c r="P1063" s="161" t="s">
        <v>109</v>
      </c>
      <c r="Q1063" s="21" t="s">
        <v>70</v>
      </c>
      <c r="R1063" s="161">
        <v>80</v>
      </c>
      <c r="S1063" s="161" t="s">
        <v>1564</v>
      </c>
      <c r="T1063" s="161" t="s">
        <v>1555</v>
      </c>
      <c r="U1063" s="161" t="s">
        <v>73</v>
      </c>
      <c r="V1063" s="21" t="s">
        <v>1632</v>
      </c>
      <c r="W1063" s="21" t="s">
        <v>1633</v>
      </c>
      <c r="X1063" s="161" t="s">
        <v>1668</v>
      </c>
      <c r="Y1063" s="161">
        <v>1.2999999999999999E-2</v>
      </c>
      <c r="Z1063" s="161">
        <v>1</v>
      </c>
      <c r="AA1063" s="161" t="s">
        <v>77</v>
      </c>
      <c r="AB1063" s="161" t="s">
        <v>114</v>
      </c>
      <c r="AC1063" s="266" t="str">
        <f>HYPERLINK("https://gcsvt.ru/svetodiodnyie-svetilniki/svt-p-i-v2-900-36w-ip65-m/","Ссылка")</f>
        <v>Ссылка</v>
      </c>
      <c r="AD1063" s="167">
        <v>3757</v>
      </c>
    </row>
    <row r="1064" spans="1:30" s="161" customFormat="1" ht="39.950000000000003" hidden="1" customHeight="1" outlineLevel="1" x14ac:dyDescent="0.25">
      <c r="A1064" s="171"/>
      <c r="B1064" s="21" t="s">
        <v>1627</v>
      </c>
      <c r="C1064" s="157" t="s">
        <v>1669</v>
      </c>
      <c r="D1064" s="168">
        <v>5760</v>
      </c>
      <c r="E1064" s="161">
        <v>48</v>
      </c>
      <c r="F1064" s="161">
        <v>120</v>
      </c>
      <c r="G1064" s="161" t="s">
        <v>1670</v>
      </c>
      <c r="H1064" s="161" t="s">
        <v>138</v>
      </c>
      <c r="I1064" s="161">
        <v>65</v>
      </c>
      <c r="J1064" s="161" t="s">
        <v>389</v>
      </c>
      <c r="K1064" s="21" t="s">
        <v>106</v>
      </c>
      <c r="L1064" s="161" t="s">
        <v>1618</v>
      </c>
      <c r="M1064" s="21" t="s">
        <v>568</v>
      </c>
      <c r="N1064" s="161" t="s">
        <v>67</v>
      </c>
      <c r="O1064" s="21" t="s">
        <v>1630</v>
      </c>
      <c r="P1064" s="161" t="s">
        <v>109</v>
      </c>
      <c r="Q1064" s="21" t="s">
        <v>70</v>
      </c>
      <c r="R1064" s="161">
        <v>80</v>
      </c>
      <c r="S1064" s="161" t="s">
        <v>1671</v>
      </c>
      <c r="T1064" s="161" t="s">
        <v>141</v>
      </c>
      <c r="U1064" s="161" t="s">
        <v>73</v>
      </c>
      <c r="V1064" s="21" t="s">
        <v>1632</v>
      </c>
      <c r="W1064" s="21" t="s">
        <v>1633</v>
      </c>
      <c r="X1064" s="161" t="s">
        <v>1634</v>
      </c>
      <c r="Y1064" s="161">
        <v>1.2999999999999999E-2</v>
      </c>
      <c r="Z1064" s="161">
        <v>1.2</v>
      </c>
      <c r="AA1064" s="161" t="s">
        <v>77</v>
      </c>
      <c r="AB1064" s="161" t="s">
        <v>114</v>
      </c>
      <c r="AC1064" s="266" t="str">
        <f>HYPERLINK("https://gcsvt.ru/svetodiodnyie-svetilniki/svt-p-i-v2-1200-48w-ip65-m/","Ссылка")</f>
        <v>Ссылка</v>
      </c>
      <c r="AD1064" s="167">
        <v>5381</v>
      </c>
    </row>
    <row r="1065" spans="1:30" s="161" customFormat="1" ht="39.950000000000003" hidden="1" customHeight="1" outlineLevel="1" x14ac:dyDescent="0.25">
      <c r="A1065" s="171"/>
      <c r="B1065" s="21" t="s">
        <v>1627</v>
      </c>
      <c r="C1065" s="157" t="s">
        <v>1672</v>
      </c>
      <c r="D1065" s="168">
        <v>7750</v>
      </c>
      <c r="E1065" s="161">
        <v>62</v>
      </c>
      <c r="F1065" s="161">
        <v>125</v>
      </c>
      <c r="G1065" s="161" t="s">
        <v>1673</v>
      </c>
      <c r="H1065" s="161" t="s">
        <v>138</v>
      </c>
      <c r="I1065" s="161">
        <v>65</v>
      </c>
      <c r="J1065" s="161" t="s">
        <v>389</v>
      </c>
      <c r="K1065" s="21" t="s">
        <v>106</v>
      </c>
      <c r="L1065" s="161" t="s">
        <v>1618</v>
      </c>
      <c r="M1065" s="21" t="s">
        <v>568</v>
      </c>
      <c r="N1065" s="161" t="s">
        <v>67</v>
      </c>
      <c r="O1065" s="21" t="s">
        <v>1630</v>
      </c>
      <c r="P1065" s="161" t="s">
        <v>109</v>
      </c>
      <c r="Q1065" s="21" t="s">
        <v>70</v>
      </c>
      <c r="R1065" s="161">
        <v>80</v>
      </c>
      <c r="S1065" s="161" t="s">
        <v>634</v>
      </c>
      <c r="T1065" s="161" t="s">
        <v>141</v>
      </c>
      <c r="U1065" s="161" t="s">
        <v>73</v>
      </c>
      <c r="V1065" s="21" t="s">
        <v>1632</v>
      </c>
      <c r="W1065" s="21" t="s">
        <v>1633</v>
      </c>
      <c r="X1065" s="161" t="s">
        <v>1674</v>
      </c>
      <c r="Y1065" s="161">
        <v>1.2999999999999999E-2</v>
      </c>
      <c r="Z1065" s="161">
        <v>1.4</v>
      </c>
      <c r="AA1065" s="161" t="s">
        <v>77</v>
      </c>
      <c r="AB1065" s="161" t="s">
        <v>114</v>
      </c>
      <c r="AC1065" s="266" t="str">
        <f>HYPERLINK("https://gcsvt.ru/svetodiodnyie-svetilniki/svt-p-i-v2-1500-60w-ip65-m/","Ссылка")</f>
        <v>Ссылка</v>
      </c>
      <c r="AD1065" s="167">
        <v>6299</v>
      </c>
    </row>
    <row r="1066" spans="1:30" s="161" customFormat="1" ht="39.950000000000003" hidden="1" customHeight="1" outlineLevel="1" x14ac:dyDescent="0.25">
      <c r="A1066" s="171"/>
      <c r="B1066" s="21" t="s">
        <v>1686</v>
      </c>
      <c r="C1066" s="159" t="s">
        <v>4321</v>
      </c>
      <c r="D1066" s="168">
        <v>3840</v>
      </c>
      <c r="E1066" s="161">
        <v>30</v>
      </c>
      <c r="F1066" s="161">
        <v>128</v>
      </c>
      <c r="G1066" s="161" t="s">
        <v>4339</v>
      </c>
      <c r="H1066" s="161" t="s">
        <v>138</v>
      </c>
      <c r="I1066" s="161">
        <v>65</v>
      </c>
      <c r="J1066" s="161" t="s">
        <v>389</v>
      </c>
      <c r="K1066" s="21" t="s">
        <v>106</v>
      </c>
      <c r="L1066" s="161" t="s">
        <v>3380</v>
      </c>
      <c r="M1066" s="21" t="s">
        <v>1689</v>
      </c>
      <c r="N1066" s="161" t="s">
        <v>67</v>
      </c>
      <c r="O1066" s="21" t="s">
        <v>1690</v>
      </c>
      <c r="P1066" s="161" t="s">
        <v>109</v>
      </c>
      <c r="Q1066" s="21" t="s">
        <v>70</v>
      </c>
      <c r="R1066" s="161">
        <v>80</v>
      </c>
      <c r="S1066" s="161" t="s">
        <v>1691</v>
      </c>
      <c r="T1066" s="161" t="s">
        <v>1692</v>
      </c>
      <c r="U1066" s="161" t="s">
        <v>73</v>
      </c>
      <c r="V1066" s="21" t="s">
        <v>1693</v>
      </c>
      <c r="W1066" s="21" t="s">
        <v>1694</v>
      </c>
      <c r="X1066" s="161" t="s">
        <v>4325</v>
      </c>
      <c r="Y1066" s="161">
        <v>1.8162375000000001E-2</v>
      </c>
      <c r="Z1066" s="161">
        <v>2.1150000000000002</v>
      </c>
      <c r="AA1066" s="161" t="s">
        <v>77</v>
      </c>
      <c r="AB1066" s="161" t="s">
        <v>114</v>
      </c>
      <c r="AC1066" s="266" t="str">
        <f>HYPERLINK("https://gcsvt.ru/svetodiodnyie-svetilniki/svt-p-i-1262-30w-t/","Ссылка")</f>
        <v>Ссылка</v>
      </c>
      <c r="AD1066" s="167">
        <v>4106</v>
      </c>
    </row>
    <row r="1067" spans="1:30" s="161" customFormat="1" ht="39.950000000000003" hidden="1" customHeight="1" outlineLevel="1" x14ac:dyDescent="0.25">
      <c r="A1067" s="171"/>
      <c r="B1067" s="21" t="s">
        <v>1686</v>
      </c>
      <c r="C1067" s="159" t="s">
        <v>4322</v>
      </c>
      <c r="D1067" s="168">
        <v>3390</v>
      </c>
      <c r="E1067" s="161">
        <v>30</v>
      </c>
      <c r="F1067" s="161">
        <v>113</v>
      </c>
      <c r="G1067" s="161" t="s">
        <v>4340</v>
      </c>
      <c r="H1067" s="161" t="s">
        <v>138</v>
      </c>
      <c r="I1067" s="161">
        <v>65</v>
      </c>
      <c r="J1067" s="161" t="s">
        <v>389</v>
      </c>
      <c r="K1067" s="21" t="s">
        <v>106</v>
      </c>
      <c r="L1067" s="161" t="s">
        <v>3380</v>
      </c>
      <c r="M1067" s="21" t="s">
        <v>1689</v>
      </c>
      <c r="N1067" s="161" t="s">
        <v>67</v>
      </c>
      <c r="O1067" s="21" t="s">
        <v>1630</v>
      </c>
      <c r="P1067" s="161" t="s">
        <v>109</v>
      </c>
      <c r="Q1067" s="21" t="s">
        <v>70</v>
      </c>
      <c r="R1067" s="161">
        <v>80</v>
      </c>
      <c r="S1067" s="161" t="s">
        <v>1691</v>
      </c>
      <c r="T1067" s="161" t="s">
        <v>1692</v>
      </c>
      <c r="U1067" s="161" t="s">
        <v>73</v>
      </c>
      <c r="V1067" s="21" t="s">
        <v>1693</v>
      </c>
      <c r="W1067" s="21" t="s">
        <v>1694</v>
      </c>
      <c r="X1067" s="161" t="s">
        <v>4325</v>
      </c>
      <c r="Y1067" s="161">
        <v>1.8162375000000001E-2</v>
      </c>
      <c r="Z1067" s="161">
        <v>2.1150000000000002</v>
      </c>
      <c r="AA1067" s="161" t="s">
        <v>77</v>
      </c>
      <c r="AB1067" s="161" t="s">
        <v>114</v>
      </c>
      <c r="AC1067" s="266" t="str">
        <f>HYPERLINK("https://gcsvt.ru/svetodiodnyie-svetilniki/svt-p-i-1262-30w-m/","Ссылка")</f>
        <v>Ссылка</v>
      </c>
      <c r="AD1067" s="167">
        <v>4106</v>
      </c>
    </row>
    <row r="1068" spans="1:30" s="161" customFormat="1" ht="39.950000000000003" hidden="1" customHeight="1" outlineLevel="1" x14ac:dyDescent="0.25">
      <c r="A1068" s="171"/>
      <c r="B1068" s="21" t="s">
        <v>1686</v>
      </c>
      <c r="C1068" s="159" t="s">
        <v>4324</v>
      </c>
      <c r="D1068" s="168">
        <v>5120</v>
      </c>
      <c r="E1068" s="161">
        <v>40</v>
      </c>
      <c r="F1068" s="161">
        <v>128</v>
      </c>
      <c r="G1068" s="161" t="s">
        <v>4341</v>
      </c>
      <c r="H1068" s="161" t="s">
        <v>138</v>
      </c>
      <c r="I1068" s="161">
        <v>65</v>
      </c>
      <c r="J1068" s="161" t="s">
        <v>389</v>
      </c>
      <c r="K1068" s="21" t="s">
        <v>106</v>
      </c>
      <c r="L1068" s="161" t="s">
        <v>3380</v>
      </c>
      <c r="M1068" s="21" t="s">
        <v>568</v>
      </c>
      <c r="N1068" s="161" t="s">
        <v>67</v>
      </c>
      <c r="O1068" s="21" t="s">
        <v>1690</v>
      </c>
      <c r="P1068" s="161" t="s">
        <v>109</v>
      </c>
      <c r="Q1068" s="21" t="s">
        <v>70</v>
      </c>
      <c r="R1068" s="161">
        <v>80</v>
      </c>
      <c r="S1068" s="161" t="s">
        <v>1700</v>
      </c>
      <c r="T1068" s="161" t="s">
        <v>1692</v>
      </c>
      <c r="U1068" s="161" t="s">
        <v>73</v>
      </c>
      <c r="V1068" s="21" t="s">
        <v>1693</v>
      </c>
      <c r="W1068" s="21" t="s">
        <v>1694</v>
      </c>
      <c r="X1068" s="161" t="s">
        <v>4326</v>
      </c>
      <c r="Y1068" s="161">
        <v>1.8162375000000001E-2</v>
      </c>
      <c r="Z1068" s="161">
        <v>2.1150000000000002</v>
      </c>
      <c r="AA1068" s="161" t="s">
        <v>77</v>
      </c>
      <c r="AB1068" s="161" t="s">
        <v>114</v>
      </c>
      <c r="AC1068" s="266" t="str">
        <f>HYPERLINK("https://gcsvt.ru/svetodiodnyie-svetilniki/svt-p-i-1262-40w-t/","Ссылка")</f>
        <v>Ссылка</v>
      </c>
      <c r="AD1068" s="167">
        <v>4216</v>
      </c>
    </row>
    <row r="1069" spans="1:30" s="161" customFormat="1" ht="39.950000000000003" hidden="1" customHeight="1" outlineLevel="1" x14ac:dyDescent="0.25">
      <c r="A1069" s="171"/>
      <c r="B1069" s="21" t="s">
        <v>1686</v>
      </c>
      <c r="C1069" s="159" t="s">
        <v>4323</v>
      </c>
      <c r="D1069" s="168">
        <v>4520</v>
      </c>
      <c r="E1069" s="161">
        <v>40</v>
      </c>
      <c r="F1069" s="161">
        <v>113</v>
      </c>
      <c r="G1069" s="161" t="s">
        <v>4342</v>
      </c>
      <c r="H1069" s="161" t="s">
        <v>138</v>
      </c>
      <c r="I1069" s="161">
        <v>65</v>
      </c>
      <c r="J1069" s="161" t="s">
        <v>389</v>
      </c>
      <c r="K1069" s="21" t="s">
        <v>106</v>
      </c>
      <c r="L1069" s="161" t="s">
        <v>3380</v>
      </c>
      <c r="M1069" s="21" t="s">
        <v>568</v>
      </c>
      <c r="N1069" s="161" t="s">
        <v>67</v>
      </c>
      <c r="O1069" s="21" t="s">
        <v>1630</v>
      </c>
      <c r="P1069" s="161" t="s">
        <v>109</v>
      </c>
      <c r="Q1069" s="21" t="s">
        <v>70</v>
      </c>
      <c r="R1069" s="161">
        <v>80</v>
      </c>
      <c r="S1069" s="161" t="s">
        <v>1700</v>
      </c>
      <c r="T1069" s="161" t="s">
        <v>1692</v>
      </c>
      <c r="U1069" s="161" t="s">
        <v>73</v>
      </c>
      <c r="V1069" s="21" t="s">
        <v>1693</v>
      </c>
      <c r="W1069" s="21" t="s">
        <v>1694</v>
      </c>
      <c r="X1069" s="161" t="s">
        <v>4326</v>
      </c>
      <c r="Y1069" s="161">
        <v>1.8162375000000001E-2</v>
      </c>
      <c r="Z1069" s="161">
        <v>2.1150000000000002</v>
      </c>
      <c r="AA1069" s="161" t="s">
        <v>77</v>
      </c>
      <c r="AB1069" s="161" t="s">
        <v>114</v>
      </c>
      <c r="AC1069" s="266" t="str">
        <f>HYPERLINK("https://gcsvt.ru/svetodiodnyie-svetilniki/svt-p-i-1262-40w-m/","Ссылка")</f>
        <v>Ссылка</v>
      </c>
      <c r="AD1069" s="167">
        <v>4216</v>
      </c>
    </row>
    <row r="1070" spans="1:30" s="161" customFormat="1" ht="39.950000000000003" hidden="1" customHeight="1" outlineLevel="1" x14ac:dyDescent="0.25">
      <c r="A1070" s="171"/>
      <c r="B1070" s="21" t="s">
        <v>1686</v>
      </c>
      <c r="C1070" s="159" t="s">
        <v>1703</v>
      </c>
      <c r="D1070" s="168">
        <v>6400</v>
      </c>
      <c r="E1070" s="161">
        <v>50</v>
      </c>
      <c r="F1070" s="161">
        <v>128</v>
      </c>
      <c r="G1070" s="161" t="s">
        <v>1704</v>
      </c>
      <c r="H1070" s="161" t="s">
        <v>138</v>
      </c>
      <c r="I1070" s="161">
        <v>65</v>
      </c>
      <c r="J1070" s="161" t="s">
        <v>389</v>
      </c>
      <c r="K1070" s="21" t="s">
        <v>106</v>
      </c>
      <c r="L1070" s="161" t="s">
        <v>3380</v>
      </c>
      <c r="M1070" s="21" t="s">
        <v>568</v>
      </c>
      <c r="N1070" s="161" t="s">
        <v>67</v>
      </c>
      <c r="O1070" s="21" t="s">
        <v>1690</v>
      </c>
      <c r="P1070" s="161" t="s">
        <v>109</v>
      </c>
      <c r="Q1070" s="21" t="s">
        <v>70</v>
      </c>
      <c r="R1070" s="161">
        <v>80</v>
      </c>
      <c r="S1070" s="161" t="s">
        <v>1705</v>
      </c>
      <c r="T1070" s="161" t="s">
        <v>1692</v>
      </c>
      <c r="U1070" s="161" t="s">
        <v>73</v>
      </c>
      <c r="V1070" s="21" t="s">
        <v>1693</v>
      </c>
      <c r="W1070" s="21" t="s">
        <v>1694</v>
      </c>
      <c r="X1070" s="161" t="s">
        <v>1695</v>
      </c>
      <c r="Y1070" s="161">
        <v>1.8162375000000001E-2</v>
      </c>
      <c r="Z1070" s="161">
        <v>2.1150000000000002</v>
      </c>
      <c r="AA1070" s="161" t="s">
        <v>77</v>
      </c>
      <c r="AB1070" s="161" t="s">
        <v>114</v>
      </c>
      <c r="AC1070" s="266" t="str">
        <f>HYPERLINK("https://gcsvt.ru/svetodiodnyie-svetilniki/svt-p-i-1280-50w-t/","Ссылка")</f>
        <v>Ссылка</v>
      </c>
      <c r="AD1070" s="167">
        <v>5653</v>
      </c>
    </row>
    <row r="1071" spans="1:30" s="161" customFormat="1" ht="39.950000000000003" hidden="1" customHeight="1" outlineLevel="1" x14ac:dyDescent="0.25">
      <c r="A1071" s="171"/>
      <c r="B1071" s="21" t="s">
        <v>1686</v>
      </c>
      <c r="C1071" s="159" t="s">
        <v>1706</v>
      </c>
      <c r="D1071" s="168">
        <v>5650</v>
      </c>
      <c r="E1071" s="161">
        <v>50</v>
      </c>
      <c r="F1071" s="161">
        <v>128</v>
      </c>
      <c r="G1071" s="161" t="s">
        <v>1707</v>
      </c>
      <c r="H1071" s="161" t="s">
        <v>138</v>
      </c>
      <c r="I1071" s="161">
        <v>65</v>
      </c>
      <c r="J1071" s="161" t="s">
        <v>389</v>
      </c>
      <c r="K1071" s="21" t="s">
        <v>106</v>
      </c>
      <c r="L1071" s="161" t="s">
        <v>3380</v>
      </c>
      <c r="M1071" s="21" t="s">
        <v>568</v>
      </c>
      <c r="N1071" s="161" t="s">
        <v>67</v>
      </c>
      <c r="O1071" s="21" t="s">
        <v>1630</v>
      </c>
      <c r="P1071" s="161" t="s">
        <v>109</v>
      </c>
      <c r="Q1071" s="21" t="s">
        <v>70</v>
      </c>
      <c r="R1071" s="161">
        <v>80</v>
      </c>
      <c r="S1071" s="161" t="s">
        <v>1705</v>
      </c>
      <c r="T1071" s="161" t="s">
        <v>1692</v>
      </c>
      <c r="U1071" s="161" t="s">
        <v>73</v>
      </c>
      <c r="V1071" s="21" t="s">
        <v>1693</v>
      </c>
      <c r="W1071" s="21" t="s">
        <v>1694</v>
      </c>
      <c r="X1071" s="161" t="s">
        <v>1695</v>
      </c>
      <c r="Y1071" s="161">
        <v>1.8162375000000001E-2</v>
      </c>
      <c r="Z1071" s="161">
        <v>2.1150000000000002</v>
      </c>
      <c r="AA1071" s="161" t="s">
        <v>77</v>
      </c>
      <c r="AB1071" s="161" t="s">
        <v>114</v>
      </c>
      <c r="AC1071" s="266" t="str">
        <f>HYPERLINK("https://gcsvt.ru/svetodiodnyie-svetilniki/svt-p-i-1280-50w-m/","Ссылка")</f>
        <v>Ссылка</v>
      </c>
      <c r="AD1071" s="167">
        <v>5653</v>
      </c>
    </row>
    <row r="1072" spans="1:30" s="161" customFormat="1" ht="39.950000000000003" hidden="1" customHeight="1" outlineLevel="1" x14ac:dyDescent="0.25">
      <c r="A1072" s="171"/>
      <c r="B1072" s="21" t="s">
        <v>1686</v>
      </c>
      <c r="C1072" s="159" t="s">
        <v>1708</v>
      </c>
      <c r="D1072" s="168">
        <v>7680</v>
      </c>
      <c r="E1072" s="161">
        <v>60</v>
      </c>
      <c r="F1072" s="161">
        <v>128</v>
      </c>
      <c r="G1072" s="161" t="s">
        <v>1709</v>
      </c>
      <c r="H1072" s="161" t="s">
        <v>138</v>
      </c>
      <c r="I1072" s="161">
        <v>65</v>
      </c>
      <c r="J1072" s="161" t="s">
        <v>389</v>
      </c>
      <c r="K1072" s="21" t="s">
        <v>106</v>
      </c>
      <c r="L1072" s="161" t="s">
        <v>3380</v>
      </c>
      <c r="M1072" s="21" t="s">
        <v>568</v>
      </c>
      <c r="N1072" s="161" t="s">
        <v>67</v>
      </c>
      <c r="O1072" s="21" t="s">
        <v>1690</v>
      </c>
      <c r="P1072" s="161" t="s">
        <v>109</v>
      </c>
      <c r="Q1072" s="21" t="s">
        <v>70</v>
      </c>
      <c r="R1072" s="161">
        <v>80</v>
      </c>
      <c r="S1072" s="161" t="s">
        <v>1710</v>
      </c>
      <c r="T1072" s="161" t="s">
        <v>1585</v>
      </c>
      <c r="U1072" s="161" t="s">
        <v>73</v>
      </c>
      <c r="V1072" s="21" t="s">
        <v>1693</v>
      </c>
      <c r="W1072" s="21" t="s">
        <v>1694</v>
      </c>
      <c r="X1072" s="161" t="s">
        <v>1695</v>
      </c>
      <c r="Y1072" s="161">
        <v>1.8162375000000001E-2</v>
      </c>
      <c r="Z1072" s="161">
        <v>2.1150000000000002</v>
      </c>
      <c r="AA1072" s="161" t="s">
        <v>77</v>
      </c>
      <c r="AB1072" s="161" t="s">
        <v>114</v>
      </c>
      <c r="AC1072" s="266" t="str">
        <f>HYPERLINK("https://gcsvt.ru/svetodiodnyie-svetilniki/svt-p-i-1280-65w-t/","Ссылка")</f>
        <v>Ссылка</v>
      </c>
      <c r="AD1072" s="167">
        <v>6375</v>
      </c>
    </row>
    <row r="1073" spans="1:30" s="161" customFormat="1" ht="39.950000000000003" hidden="1" customHeight="1" outlineLevel="1" x14ac:dyDescent="0.25">
      <c r="A1073" s="171"/>
      <c r="B1073" s="21" t="s">
        <v>1686</v>
      </c>
      <c r="C1073" s="159" t="s">
        <v>1711</v>
      </c>
      <c r="D1073" s="168">
        <v>6780</v>
      </c>
      <c r="E1073" s="161">
        <v>60</v>
      </c>
      <c r="F1073" s="161">
        <v>113</v>
      </c>
      <c r="G1073" s="161" t="s">
        <v>1712</v>
      </c>
      <c r="H1073" s="161" t="s">
        <v>138</v>
      </c>
      <c r="I1073" s="161">
        <v>65</v>
      </c>
      <c r="J1073" s="161" t="s">
        <v>389</v>
      </c>
      <c r="K1073" s="21" t="s">
        <v>106</v>
      </c>
      <c r="L1073" s="161" t="s">
        <v>3380</v>
      </c>
      <c r="M1073" s="21" t="s">
        <v>568</v>
      </c>
      <c r="N1073" s="161" t="s">
        <v>67</v>
      </c>
      <c r="O1073" s="21" t="s">
        <v>1630</v>
      </c>
      <c r="P1073" s="161" t="s">
        <v>109</v>
      </c>
      <c r="Q1073" s="21" t="s">
        <v>70</v>
      </c>
      <c r="R1073" s="161">
        <v>80</v>
      </c>
      <c r="S1073" s="161" t="s">
        <v>1710</v>
      </c>
      <c r="T1073" s="161" t="s">
        <v>1585</v>
      </c>
      <c r="U1073" s="161" t="s">
        <v>73</v>
      </c>
      <c r="V1073" s="21" t="s">
        <v>1693</v>
      </c>
      <c r="W1073" s="21" t="s">
        <v>1694</v>
      </c>
      <c r="X1073" s="161" t="s">
        <v>1695</v>
      </c>
      <c r="Y1073" s="161">
        <v>1.8162375000000001E-2</v>
      </c>
      <c r="Z1073" s="161">
        <v>2.1150000000000002</v>
      </c>
      <c r="AA1073" s="161" t="s">
        <v>77</v>
      </c>
      <c r="AB1073" s="161" t="s">
        <v>114</v>
      </c>
      <c r="AC1073" s="266" t="str">
        <f>HYPERLINK("https://gcsvt.ru/svetodiodnyie-svetilniki/svt-p-i-1280-65w-m/","Ссылка")</f>
        <v>Ссылка</v>
      </c>
      <c r="AD1073" s="167">
        <v>6375</v>
      </c>
    </row>
    <row r="1074" spans="1:30" s="161" customFormat="1" ht="39.950000000000003" customHeight="1" x14ac:dyDescent="0.25">
      <c r="A1074" s="207" t="s">
        <v>3991</v>
      </c>
      <c r="B1074" s="182"/>
      <c r="C1074" s="183"/>
      <c r="D1074" s="183"/>
      <c r="E1074" s="183"/>
      <c r="F1074" s="183"/>
      <c r="G1074" s="174"/>
      <c r="H1074" s="174"/>
      <c r="I1074" s="174"/>
      <c r="J1074" s="174"/>
      <c r="K1074" s="113"/>
      <c r="L1074" s="174"/>
      <c r="M1074" s="113"/>
      <c r="N1074" s="174"/>
      <c r="O1074" s="113"/>
      <c r="P1074" s="174"/>
      <c r="Q1074" s="113"/>
      <c r="R1074" s="174"/>
      <c r="S1074" s="174"/>
      <c r="T1074" s="174"/>
      <c r="U1074" s="174"/>
      <c r="V1074" s="113"/>
      <c r="W1074" s="113"/>
      <c r="X1074" s="174"/>
      <c r="Y1074" s="174"/>
      <c r="Z1074" s="174"/>
      <c r="AA1074" s="174"/>
      <c r="AB1074" s="174"/>
      <c r="AC1074" s="224"/>
      <c r="AD1074" s="175"/>
    </row>
    <row r="1075" spans="1:30" s="161" customFormat="1" ht="39.950000000000003" customHeight="1" collapsed="1" x14ac:dyDescent="0.25">
      <c r="A1075" s="165"/>
      <c r="B1075" s="195" t="s">
        <v>4628</v>
      </c>
      <c r="C1075" s="202"/>
      <c r="D1075" s="163"/>
      <c r="E1075" s="163"/>
      <c r="F1075" s="163"/>
      <c r="G1075" s="163"/>
      <c r="H1075" s="163"/>
      <c r="I1075" s="163"/>
      <c r="J1075" s="163"/>
      <c r="K1075" s="75"/>
      <c r="L1075" s="163"/>
      <c r="M1075" s="75"/>
      <c r="N1075" s="163"/>
      <c r="O1075" s="75"/>
      <c r="P1075" s="163"/>
      <c r="Q1075" s="75"/>
      <c r="R1075" s="163"/>
      <c r="S1075" s="163"/>
      <c r="T1075" s="163"/>
      <c r="U1075" s="163"/>
      <c r="V1075" s="75"/>
      <c r="W1075" s="75"/>
      <c r="X1075" s="163"/>
      <c r="Y1075" s="163"/>
      <c r="Z1075" s="163"/>
      <c r="AA1075" s="163"/>
      <c r="AB1075" s="163"/>
      <c r="AC1075" s="227"/>
      <c r="AD1075" s="164"/>
    </row>
    <row r="1076" spans="1:30" s="161" customFormat="1" ht="39.950000000000003" hidden="1" customHeight="1" outlineLevel="1" collapsed="1" x14ac:dyDescent="0.35">
      <c r="A1076" s="165"/>
      <c r="B1076" s="220" t="s">
        <v>3423</v>
      </c>
      <c r="C1076" s="218"/>
      <c r="K1076" s="21"/>
      <c r="M1076" s="21"/>
      <c r="O1076" s="21"/>
      <c r="Q1076" s="21"/>
      <c r="V1076" s="21"/>
      <c r="W1076" s="21"/>
      <c r="AC1076" s="228"/>
      <c r="AD1076" s="167"/>
    </row>
    <row r="1077" spans="1:30" s="161" customFormat="1" ht="39.950000000000003" hidden="1" customHeight="1" outlineLevel="2" x14ac:dyDescent="0.25">
      <c r="A1077" s="6"/>
      <c r="B1077" s="21" t="s">
        <v>3423</v>
      </c>
      <c r="C1077" s="159" t="s">
        <v>4028</v>
      </c>
      <c r="D1077" s="161">
        <v>912</v>
      </c>
      <c r="E1077" s="161">
        <v>6</v>
      </c>
      <c r="F1077" s="161">
        <v>152</v>
      </c>
      <c r="G1077" s="161" t="s">
        <v>4147</v>
      </c>
      <c r="H1077" s="161" t="s">
        <v>4032</v>
      </c>
      <c r="I1077" s="161">
        <v>67</v>
      </c>
      <c r="J1077" s="161" t="s">
        <v>105</v>
      </c>
      <c r="K1077" s="21" t="s">
        <v>106</v>
      </c>
      <c r="L1077" s="161" t="s">
        <v>3380</v>
      </c>
      <c r="M1077" s="21" t="s">
        <v>2107</v>
      </c>
      <c r="N1077" s="161" t="s">
        <v>67</v>
      </c>
      <c r="O1077" s="21" t="s">
        <v>3424</v>
      </c>
      <c r="P1077" s="161" t="s">
        <v>109</v>
      </c>
      <c r="Q1077" s="21" t="s">
        <v>70</v>
      </c>
      <c r="R1077" s="161">
        <v>70</v>
      </c>
      <c r="S1077" s="161" t="s">
        <v>3377</v>
      </c>
      <c r="T1077" s="161" t="s">
        <v>174</v>
      </c>
      <c r="U1077" s="161" t="s">
        <v>73</v>
      </c>
      <c r="V1077" s="21" t="s">
        <v>74</v>
      </c>
      <c r="W1077" s="21" t="s">
        <v>75</v>
      </c>
      <c r="X1077" s="161" t="s">
        <v>4110</v>
      </c>
      <c r="Y1077" s="161" t="s">
        <v>4138</v>
      </c>
      <c r="Z1077" s="161">
        <v>0.85</v>
      </c>
      <c r="AA1077" s="161" t="s">
        <v>77</v>
      </c>
      <c r="AB1077" s="161" t="s">
        <v>114</v>
      </c>
      <c r="AC1077" s="266" t="str">
        <f>HYPERLINK("https://gcsvt.ru/svetodiodnyie-svetilniki/svt-arh-direct-150-6w-120/","Ссылка")</f>
        <v>Ссылка</v>
      </c>
      <c r="AD1077" s="167">
        <v>4658</v>
      </c>
    </row>
    <row r="1078" spans="1:30" s="161" customFormat="1" ht="39.950000000000003" hidden="1" customHeight="1" outlineLevel="2" x14ac:dyDescent="0.25">
      <c r="A1078" s="6"/>
      <c r="B1078" s="21" t="s">
        <v>3423</v>
      </c>
      <c r="C1078" s="160" t="s">
        <v>4034</v>
      </c>
      <c r="D1078" s="161">
        <v>882</v>
      </c>
      <c r="E1078" s="161">
        <v>6</v>
      </c>
      <c r="F1078" s="161">
        <v>147</v>
      </c>
      <c r="G1078" s="161" t="s">
        <v>4148</v>
      </c>
      <c r="H1078" s="161" t="s">
        <v>3123</v>
      </c>
      <c r="I1078" s="161">
        <v>67</v>
      </c>
      <c r="J1078" s="161" t="s">
        <v>105</v>
      </c>
      <c r="K1078" s="21" t="s">
        <v>106</v>
      </c>
      <c r="L1078" s="161" t="s">
        <v>3380</v>
      </c>
      <c r="M1078" s="21" t="s">
        <v>2107</v>
      </c>
      <c r="N1078" s="161" t="s">
        <v>67</v>
      </c>
      <c r="O1078" s="21" t="s">
        <v>3424</v>
      </c>
      <c r="P1078" s="161" t="s">
        <v>109</v>
      </c>
      <c r="Q1078" s="21" t="s">
        <v>70</v>
      </c>
      <c r="R1078" s="161">
        <v>70</v>
      </c>
      <c r="S1078" s="161" t="s">
        <v>3377</v>
      </c>
      <c r="T1078" s="161" t="s">
        <v>174</v>
      </c>
      <c r="U1078" s="161" t="s">
        <v>73</v>
      </c>
      <c r="V1078" s="21" t="s">
        <v>74</v>
      </c>
      <c r="W1078" s="21" t="s">
        <v>75</v>
      </c>
      <c r="X1078" s="161" t="s">
        <v>4110</v>
      </c>
      <c r="Y1078" s="161" t="s">
        <v>4138</v>
      </c>
      <c r="Z1078" s="161">
        <v>0.9</v>
      </c>
      <c r="AA1078" s="161" t="s">
        <v>77</v>
      </c>
      <c r="AB1078" s="161" t="s">
        <v>114</v>
      </c>
      <c r="AC1078" s="266" t="str">
        <f>HYPERLINK("https://gcsvt.ru/svetodiodnyie-svetilniki/svt-arh-direct-150-6w-8/","Ссылка")</f>
        <v>Ссылка</v>
      </c>
      <c r="AD1078" s="167">
        <v>5134</v>
      </c>
    </row>
    <row r="1079" spans="1:30" s="161" customFormat="1" ht="39.950000000000003" hidden="1" customHeight="1" outlineLevel="2" x14ac:dyDescent="0.25">
      <c r="A1079" s="6"/>
      <c r="B1079" s="21" t="s">
        <v>3423</v>
      </c>
      <c r="C1079" s="159" t="s">
        <v>4029</v>
      </c>
      <c r="D1079" s="161">
        <v>882</v>
      </c>
      <c r="E1079" s="161">
        <v>6</v>
      </c>
      <c r="F1079" s="161">
        <v>147</v>
      </c>
      <c r="G1079" s="161" t="s">
        <v>4149</v>
      </c>
      <c r="H1079" s="161" t="s">
        <v>1805</v>
      </c>
      <c r="I1079" s="161">
        <v>67</v>
      </c>
      <c r="J1079" s="161" t="s">
        <v>105</v>
      </c>
      <c r="K1079" s="21" t="s">
        <v>106</v>
      </c>
      <c r="L1079" s="161" t="s">
        <v>3380</v>
      </c>
      <c r="M1079" s="21" t="s">
        <v>2107</v>
      </c>
      <c r="N1079" s="161" t="s">
        <v>67</v>
      </c>
      <c r="O1079" s="21" t="s">
        <v>3424</v>
      </c>
      <c r="P1079" s="161" t="s">
        <v>109</v>
      </c>
      <c r="Q1079" s="21" t="s">
        <v>70</v>
      </c>
      <c r="R1079" s="161">
        <v>70</v>
      </c>
      <c r="S1079" s="161" t="s">
        <v>3377</v>
      </c>
      <c r="T1079" s="161" t="s">
        <v>174</v>
      </c>
      <c r="U1079" s="161" t="s">
        <v>73</v>
      </c>
      <c r="V1079" s="21" t="s">
        <v>74</v>
      </c>
      <c r="W1079" s="21" t="s">
        <v>75</v>
      </c>
      <c r="X1079" s="161" t="s">
        <v>4110</v>
      </c>
      <c r="Y1079" s="161" t="s">
        <v>4138</v>
      </c>
      <c r="Z1079" s="161">
        <v>0.9</v>
      </c>
      <c r="AA1079" s="161" t="s">
        <v>77</v>
      </c>
      <c r="AB1079" s="161" t="s">
        <v>114</v>
      </c>
      <c r="AC1079" s="266" t="str">
        <f>HYPERLINK("https://gcsvt.ru/svetodiodnyie-svetilniki/svt-arh-direct-150-6w-15/","Ссылка")</f>
        <v>Ссылка</v>
      </c>
      <c r="AD1079" s="167">
        <v>5134</v>
      </c>
    </row>
    <row r="1080" spans="1:30" s="161" customFormat="1" ht="39.950000000000003" hidden="1" customHeight="1" outlineLevel="2" x14ac:dyDescent="0.25">
      <c r="A1080" s="6"/>
      <c r="B1080" s="21" t="s">
        <v>3423</v>
      </c>
      <c r="C1080" s="159" t="s">
        <v>4030</v>
      </c>
      <c r="D1080" s="161">
        <v>882</v>
      </c>
      <c r="E1080" s="161">
        <v>6</v>
      </c>
      <c r="F1080" s="161">
        <v>147</v>
      </c>
      <c r="G1080" s="161" t="s">
        <v>4150</v>
      </c>
      <c r="H1080" s="161" t="s">
        <v>1756</v>
      </c>
      <c r="I1080" s="161">
        <v>67</v>
      </c>
      <c r="J1080" s="161" t="s">
        <v>105</v>
      </c>
      <c r="K1080" s="21" t="s">
        <v>106</v>
      </c>
      <c r="L1080" s="161" t="s">
        <v>3380</v>
      </c>
      <c r="M1080" s="21" t="s">
        <v>2107</v>
      </c>
      <c r="N1080" s="161" t="s">
        <v>67</v>
      </c>
      <c r="O1080" s="21" t="s">
        <v>3424</v>
      </c>
      <c r="P1080" s="161" t="s">
        <v>109</v>
      </c>
      <c r="Q1080" s="21" t="s">
        <v>70</v>
      </c>
      <c r="R1080" s="161">
        <v>70</v>
      </c>
      <c r="S1080" s="161" t="s">
        <v>3377</v>
      </c>
      <c r="T1080" s="161" t="s">
        <v>174</v>
      </c>
      <c r="U1080" s="161" t="s">
        <v>73</v>
      </c>
      <c r="V1080" s="21" t="s">
        <v>74</v>
      </c>
      <c r="W1080" s="21" t="s">
        <v>75</v>
      </c>
      <c r="X1080" s="161" t="s">
        <v>4110</v>
      </c>
      <c r="Y1080" s="161" t="s">
        <v>4138</v>
      </c>
      <c r="Z1080" s="161">
        <v>0.9</v>
      </c>
      <c r="AA1080" s="161" t="s">
        <v>77</v>
      </c>
      <c r="AB1080" s="161" t="s">
        <v>114</v>
      </c>
      <c r="AC1080" s="266" t="str">
        <f>HYPERLINK("https://gcsvt.ru/svetodiodnyie-svetilniki/svt-arh-direct-150-6w-25/","Ссылка")</f>
        <v>Ссылка</v>
      </c>
      <c r="AD1080" s="167">
        <v>5134</v>
      </c>
    </row>
    <row r="1081" spans="1:30" s="161" customFormat="1" ht="39.950000000000003" hidden="1" customHeight="1" outlineLevel="2" x14ac:dyDescent="0.25">
      <c r="A1081" s="6"/>
      <c r="B1081" s="21" t="s">
        <v>3423</v>
      </c>
      <c r="C1081" s="160" t="s">
        <v>4031</v>
      </c>
      <c r="D1081" s="161">
        <v>882</v>
      </c>
      <c r="E1081" s="161">
        <v>6</v>
      </c>
      <c r="F1081" s="161">
        <v>147</v>
      </c>
      <c r="G1081" s="161" t="s">
        <v>4186</v>
      </c>
      <c r="H1081" s="161" t="s">
        <v>1577</v>
      </c>
      <c r="I1081" s="161">
        <v>67</v>
      </c>
      <c r="J1081" s="161" t="s">
        <v>105</v>
      </c>
      <c r="K1081" s="21" t="s">
        <v>106</v>
      </c>
      <c r="L1081" s="161" t="s">
        <v>3380</v>
      </c>
      <c r="M1081" s="21" t="s">
        <v>2107</v>
      </c>
      <c r="N1081" s="161" t="s">
        <v>67</v>
      </c>
      <c r="O1081" s="21" t="s">
        <v>3424</v>
      </c>
      <c r="P1081" s="161" t="s">
        <v>109</v>
      </c>
      <c r="Q1081" s="21" t="s">
        <v>70</v>
      </c>
      <c r="R1081" s="161">
        <v>70</v>
      </c>
      <c r="S1081" s="161" t="s">
        <v>3377</v>
      </c>
      <c r="T1081" s="161" t="s">
        <v>174</v>
      </c>
      <c r="U1081" s="161" t="s">
        <v>73</v>
      </c>
      <c r="V1081" s="21" t="s">
        <v>74</v>
      </c>
      <c r="W1081" s="21" t="s">
        <v>75</v>
      </c>
      <c r="X1081" s="161" t="s">
        <v>4110</v>
      </c>
      <c r="Y1081" s="161" t="s">
        <v>4138</v>
      </c>
      <c r="Z1081" s="161">
        <v>0.9</v>
      </c>
      <c r="AA1081" s="161" t="s">
        <v>77</v>
      </c>
      <c r="AB1081" s="161" t="s">
        <v>114</v>
      </c>
      <c r="AC1081" s="266" t="str">
        <f>HYPERLINK("https://gcsvt.ru/svetodiodnyie-svetilniki/svt-arh-direct-150-6w-45/","Ссылка")</f>
        <v>Ссылка</v>
      </c>
      <c r="AD1081" s="167">
        <v>5134</v>
      </c>
    </row>
    <row r="1082" spans="1:30" s="161" customFormat="1" ht="39.950000000000003" hidden="1" customHeight="1" outlineLevel="2" x14ac:dyDescent="0.25">
      <c r="A1082" s="6"/>
      <c r="B1082" s="21" t="s">
        <v>3423</v>
      </c>
      <c r="C1082" s="160" t="s">
        <v>4307</v>
      </c>
      <c r="D1082" s="161">
        <v>882</v>
      </c>
      <c r="E1082" s="161">
        <v>6</v>
      </c>
      <c r="F1082" s="161">
        <v>147</v>
      </c>
      <c r="H1082" s="161" t="s">
        <v>4308</v>
      </c>
      <c r="I1082" s="161">
        <v>67</v>
      </c>
      <c r="J1082" s="161" t="s">
        <v>105</v>
      </c>
      <c r="K1082" s="21" t="s">
        <v>106</v>
      </c>
      <c r="L1082" s="161" t="s">
        <v>3380</v>
      </c>
      <c r="M1082" s="21" t="s">
        <v>2107</v>
      </c>
      <c r="N1082" s="161" t="s">
        <v>67</v>
      </c>
      <c r="O1082" s="21" t="s">
        <v>3424</v>
      </c>
      <c r="P1082" s="161" t="s">
        <v>109</v>
      </c>
      <c r="Q1082" s="21" t="s">
        <v>70</v>
      </c>
      <c r="R1082" s="161">
        <v>70</v>
      </c>
      <c r="S1082" s="161" t="s">
        <v>3377</v>
      </c>
      <c r="T1082" s="161" t="s">
        <v>174</v>
      </c>
      <c r="U1082" s="161" t="s">
        <v>73</v>
      </c>
      <c r="V1082" s="21" t="s">
        <v>74</v>
      </c>
      <c r="W1082" s="21" t="s">
        <v>75</v>
      </c>
      <c r="X1082" s="161" t="s">
        <v>4110</v>
      </c>
      <c r="Y1082" s="161" t="s">
        <v>4138</v>
      </c>
      <c r="Z1082" s="161">
        <v>0.9</v>
      </c>
      <c r="AA1082" s="161" t="s">
        <v>77</v>
      </c>
      <c r="AB1082" s="161" t="s">
        <v>114</v>
      </c>
      <c r="AC1082" s="266" t="str">
        <f>HYPERLINK("https://gcsvt.ru/svetodiodnyie-svetilniki/svt-arh-direct-150-6w-10kh60/","Ссылка")</f>
        <v>Ссылка</v>
      </c>
      <c r="AD1082" s="167">
        <v>5134</v>
      </c>
    </row>
    <row r="1083" spans="1:30" s="161" customFormat="1" ht="39.950000000000003" hidden="1" customHeight="1" outlineLevel="2" x14ac:dyDescent="0.25">
      <c r="A1083" s="6"/>
      <c r="B1083" s="21" t="s">
        <v>3423</v>
      </c>
      <c r="C1083" s="159" t="s">
        <v>4033</v>
      </c>
      <c r="D1083" s="161">
        <v>1824</v>
      </c>
      <c r="E1083" s="161">
        <v>12</v>
      </c>
      <c r="F1083" s="161">
        <v>152</v>
      </c>
      <c r="G1083" s="161" t="s">
        <v>4151</v>
      </c>
      <c r="H1083" s="161" t="s">
        <v>4032</v>
      </c>
      <c r="I1083" s="161">
        <v>67</v>
      </c>
      <c r="J1083" s="161" t="s">
        <v>105</v>
      </c>
      <c r="K1083" s="21" t="s">
        <v>106</v>
      </c>
      <c r="L1083" s="161" t="s">
        <v>3380</v>
      </c>
      <c r="M1083" s="21" t="s">
        <v>2107</v>
      </c>
      <c r="N1083" s="161" t="s">
        <v>67</v>
      </c>
      <c r="O1083" s="21" t="s">
        <v>3424</v>
      </c>
      <c r="P1083" s="161" t="s">
        <v>109</v>
      </c>
      <c r="Q1083" s="21" t="s">
        <v>70</v>
      </c>
      <c r="R1083" s="161">
        <v>70</v>
      </c>
      <c r="S1083" s="161" t="s">
        <v>3377</v>
      </c>
      <c r="T1083" s="161" t="s">
        <v>174</v>
      </c>
      <c r="U1083" s="161" t="s">
        <v>73</v>
      </c>
      <c r="V1083" s="21" t="s">
        <v>74</v>
      </c>
      <c r="W1083" s="21" t="s">
        <v>75</v>
      </c>
      <c r="X1083" s="161" t="s">
        <v>4111</v>
      </c>
      <c r="Y1083" s="161" t="s">
        <v>4139</v>
      </c>
      <c r="Z1083" s="161">
        <v>1.1499999999999999</v>
      </c>
      <c r="AA1083" s="161" t="s">
        <v>77</v>
      </c>
      <c r="AB1083" s="161" t="s">
        <v>114</v>
      </c>
      <c r="AC1083" s="266" t="str">
        <f>HYPERLINK("https://gcsvt.ru/svetodiodnyie-svetilniki/svt-arh-direct-300-12w-120/","Ссылка")</f>
        <v>Ссылка</v>
      </c>
      <c r="AD1083" s="167">
        <v>6928</v>
      </c>
    </row>
    <row r="1084" spans="1:30" s="161" customFormat="1" ht="39.950000000000003" hidden="1" customHeight="1" outlineLevel="2" x14ac:dyDescent="0.25">
      <c r="A1084" s="6"/>
      <c r="B1084" s="21" t="s">
        <v>3423</v>
      </c>
      <c r="C1084" s="159" t="s">
        <v>4035</v>
      </c>
      <c r="D1084" s="161">
        <v>1764</v>
      </c>
      <c r="E1084" s="161">
        <v>12</v>
      </c>
      <c r="F1084" s="161">
        <v>147</v>
      </c>
      <c r="G1084" s="161" t="s">
        <v>4152</v>
      </c>
      <c r="H1084" s="161" t="s">
        <v>3123</v>
      </c>
      <c r="I1084" s="161">
        <v>67</v>
      </c>
      <c r="J1084" s="161" t="s">
        <v>105</v>
      </c>
      <c r="K1084" s="21" t="s">
        <v>106</v>
      </c>
      <c r="L1084" s="161" t="s">
        <v>3380</v>
      </c>
      <c r="M1084" s="21" t="s">
        <v>2107</v>
      </c>
      <c r="N1084" s="161" t="s">
        <v>67</v>
      </c>
      <c r="O1084" s="21" t="s">
        <v>3424</v>
      </c>
      <c r="P1084" s="161" t="s">
        <v>109</v>
      </c>
      <c r="Q1084" s="21" t="s">
        <v>70</v>
      </c>
      <c r="R1084" s="161">
        <v>70</v>
      </c>
      <c r="S1084" s="161" t="s">
        <v>3377</v>
      </c>
      <c r="T1084" s="161" t="s">
        <v>174</v>
      </c>
      <c r="U1084" s="161" t="s">
        <v>73</v>
      </c>
      <c r="V1084" s="21" t="s">
        <v>74</v>
      </c>
      <c r="W1084" s="21" t="s">
        <v>75</v>
      </c>
      <c r="X1084" s="161" t="s">
        <v>4111</v>
      </c>
      <c r="Y1084" s="161" t="s">
        <v>4139</v>
      </c>
      <c r="Z1084" s="161">
        <v>1.2</v>
      </c>
      <c r="AA1084" s="161" t="s">
        <v>77</v>
      </c>
      <c r="AB1084" s="161" t="s">
        <v>114</v>
      </c>
      <c r="AC1084" s="266" t="str">
        <f>HYPERLINK("https://gcsvt.ru/svetodiodnyie-svetilniki/svt-arh-direct-300-12w-8/","Ссылка")</f>
        <v>Ссылка</v>
      </c>
      <c r="AD1084" s="167">
        <v>7820</v>
      </c>
    </row>
    <row r="1085" spans="1:30" s="161" customFormat="1" ht="39.950000000000003" hidden="1" customHeight="1" outlineLevel="2" x14ac:dyDescent="0.25">
      <c r="A1085" s="6"/>
      <c r="B1085" s="21" t="s">
        <v>3423</v>
      </c>
      <c r="C1085" s="159" t="s">
        <v>4036</v>
      </c>
      <c r="D1085" s="161">
        <v>1764</v>
      </c>
      <c r="E1085" s="161">
        <v>12</v>
      </c>
      <c r="F1085" s="161">
        <v>147</v>
      </c>
      <c r="G1085" s="161" t="s">
        <v>4153</v>
      </c>
      <c r="H1085" s="161" t="s">
        <v>1805</v>
      </c>
      <c r="I1085" s="161">
        <v>67</v>
      </c>
      <c r="J1085" s="161" t="s">
        <v>105</v>
      </c>
      <c r="K1085" s="21" t="s">
        <v>106</v>
      </c>
      <c r="L1085" s="161" t="s">
        <v>3380</v>
      </c>
      <c r="M1085" s="21" t="s">
        <v>2107</v>
      </c>
      <c r="N1085" s="161" t="s">
        <v>67</v>
      </c>
      <c r="O1085" s="21" t="s">
        <v>3424</v>
      </c>
      <c r="P1085" s="161" t="s">
        <v>109</v>
      </c>
      <c r="Q1085" s="21" t="s">
        <v>70</v>
      </c>
      <c r="R1085" s="161">
        <v>70</v>
      </c>
      <c r="S1085" s="161" t="s">
        <v>3377</v>
      </c>
      <c r="T1085" s="161" t="s">
        <v>174</v>
      </c>
      <c r="U1085" s="161" t="s">
        <v>73</v>
      </c>
      <c r="V1085" s="21" t="s">
        <v>74</v>
      </c>
      <c r="W1085" s="21" t="s">
        <v>75</v>
      </c>
      <c r="X1085" s="161" t="s">
        <v>4111</v>
      </c>
      <c r="Y1085" s="161" t="s">
        <v>4139</v>
      </c>
      <c r="Z1085" s="161">
        <v>1.2</v>
      </c>
      <c r="AA1085" s="161" t="s">
        <v>77</v>
      </c>
      <c r="AB1085" s="161" t="s">
        <v>114</v>
      </c>
      <c r="AC1085" s="266" t="str">
        <f>HYPERLINK("https://gcsvt.ru/svetodiodnyie-svetilniki/svt-arh-direct-300-12w-15/","Ссылка")</f>
        <v>Ссылка</v>
      </c>
      <c r="AD1085" s="167">
        <v>7820</v>
      </c>
    </row>
    <row r="1086" spans="1:30" s="161" customFormat="1" ht="39.950000000000003" hidden="1" customHeight="1" outlineLevel="2" x14ac:dyDescent="0.25">
      <c r="A1086" s="6"/>
      <c r="B1086" s="21" t="s">
        <v>3423</v>
      </c>
      <c r="C1086" s="159" t="s">
        <v>4037</v>
      </c>
      <c r="D1086" s="161">
        <v>1764</v>
      </c>
      <c r="E1086" s="161">
        <v>12</v>
      </c>
      <c r="F1086" s="161">
        <v>147</v>
      </c>
      <c r="G1086" s="161" t="s">
        <v>4154</v>
      </c>
      <c r="H1086" s="161" t="s">
        <v>1756</v>
      </c>
      <c r="I1086" s="161">
        <v>67</v>
      </c>
      <c r="J1086" s="161" t="s">
        <v>105</v>
      </c>
      <c r="K1086" s="21" t="s">
        <v>106</v>
      </c>
      <c r="L1086" s="161" t="s">
        <v>3380</v>
      </c>
      <c r="M1086" s="21" t="s">
        <v>2107</v>
      </c>
      <c r="N1086" s="161" t="s">
        <v>67</v>
      </c>
      <c r="O1086" s="21" t="s">
        <v>3424</v>
      </c>
      <c r="P1086" s="161" t="s">
        <v>109</v>
      </c>
      <c r="Q1086" s="21" t="s">
        <v>70</v>
      </c>
      <c r="R1086" s="161">
        <v>70</v>
      </c>
      <c r="S1086" s="161" t="s">
        <v>3377</v>
      </c>
      <c r="T1086" s="161" t="s">
        <v>174</v>
      </c>
      <c r="U1086" s="161" t="s">
        <v>73</v>
      </c>
      <c r="V1086" s="21" t="s">
        <v>74</v>
      </c>
      <c r="W1086" s="21" t="s">
        <v>75</v>
      </c>
      <c r="X1086" s="161" t="s">
        <v>4111</v>
      </c>
      <c r="Y1086" s="161" t="s">
        <v>4139</v>
      </c>
      <c r="Z1086" s="161">
        <v>1.2</v>
      </c>
      <c r="AA1086" s="161" t="s">
        <v>77</v>
      </c>
      <c r="AB1086" s="161" t="s">
        <v>114</v>
      </c>
      <c r="AC1086" s="266" t="str">
        <f>HYPERLINK("https://gcsvt.ru/svetodiodnyie-svetilniki/svt-arh-direct-300-12w-25/","Ссылка")</f>
        <v>Ссылка</v>
      </c>
      <c r="AD1086" s="167">
        <v>7820</v>
      </c>
    </row>
    <row r="1087" spans="1:30" s="161" customFormat="1" ht="39.950000000000003" hidden="1" customHeight="1" outlineLevel="2" x14ac:dyDescent="0.25">
      <c r="A1087" s="6"/>
      <c r="B1087" s="21" t="s">
        <v>3423</v>
      </c>
      <c r="C1087" s="159" t="s">
        <v>4038</v>
      </c>
      <c r="D1087" s="161">
        <v>1764</v>
      </c>
      <c r="E1087" s="161">
        <v>12</v>
      </c>
      <c r="F1087" s="161">
        <v>147</v>
      </c>
      <c r="G1087" s="161" t="s">
        <v>4155</v>
      </c>
      <c r="H1087" s="161" t="s">
        <v>1577</v>
      </c>
      <c r="I1087" s="161">
        <v>67</v>
      </c>
      <c r="J1087" s="161" t="s">
        <v>105</v>
      </c>
      <c r="K1087" s="21" t="s">
        <v>106</v>
      </c>
      <c r="L1087" s="161" t="s">
        <v>3380</v>
      </c>
      <c r="M1087" s="21" t="s">
        <v>2107</v>
      </c>
      <c r="N1087" s="161" t="s">
        <v>67</v>
      </c>
      <c r="O1087" s="21" t="s">
        <v>3424</v>
      </c>
      <c r="P1087" s="161" t="s">
        <v>109</v>
      </c>
      <c r="Q1087" s="21" t="s">
        <v>70</v>
      </c>
      <c r="R1087" s="161">
        <v>70</v>
      </c>
      <c r="S1087" s="161" t="s">
        <v>3377</v>
      </c>
      <c r="T1087" s="161" t="s">
        <v>174</v>
      </c>
      <c r="U1087" s="161" t="s">
        <v>73</v>
      </c>
      <c r="V1087" s="21" t="s">
        <v>74</v>
      </c>
      <c r="W1087" s="21" t="s">
        <v>75</v>
      </c>
      <c r="X1087" s="161" t="s">
        <v>4111</v>
      </c>
      <c r="Y1087" s="161" t="s">
        <v>4139</v>
      </c>
      <c r="Z1087" s="161">
        <v>1.2</v>
      </c>
      <c r="AA1087" s="161" t="s">
        <v>77</v>
      </c>
      <c r="AB1087" s="161" t="s">
        <v>114</v>
      </c>
      <c r="AC1087" s="266" t="str">
        <f>HYPERLINK("https://gcsvt.ru/svetodiodnyie-svetilniki/svt-arh-direct-300-12w-45/","Ссылка")</f>
        <v>Ссылка</v>
      </c>
      <c r="AD1087" s="167">
        <v>7820</v>
      </c>
    </row>
    <row r="1088" spans="1:30" s="161" customFormat="1" ht="39.950000000000003" hidden="1" customHeight="1" outlineLevel="2" x14ac:dyDescent="0.25">
      <c r="A1088" s="6"/>
      <c r="B1088" s="21"/>
      <c r="C1088" s="159" t="s">
        <v>4309</v>
      </c>
      <c r="D1088" s="161">
        <v>1764</v>
      </c>
      <c r="E1088" s="161">
        <v>12</v>
      </c>
      <c r="F1088" s="161">
        <v>147</v>
      </c>
      <c r="H1088" s="161" t="s">
        <v>4308</v>
      </c>
      <c r="I1088" s="161">
        <v>67</v>
      </c>
      <c r="J1088" s="161" t="s">
        <v>105</v>
      </c>
      <c r="K1088" s="21" t="s">
        <v>106</v>
      </c>
      <c r="L1088" s="161" t="s">
        <v>3380</v>
      </c>
      <c r="M1088" s="21" t="s">
        <v>2107</v>
      </c>
      <c r="N1088" s="161" t="s">
        <v>67</v>
      </c>
      <c r="O1088" s="21" t="s">
        <v>3424</v>
      </c>
      <c r="P1088" s="161" t="s">
        <v>109</v>
      </c>
      <c r="Q1088" s="21" t="s">
        <v>70</v>
      </c>
      <c r="R1088" s="161">
        <v>70</v>
      </c>
      <c r="S1088" s="161" t="s">
        <v>3377</v>
      </c>
      <c r="T1088" s="161" t="s">
        <v>174</v>
      </c>
      <c r="U1088" s="161" t="s">
        <v>73</v>
      </c>
      <c r="V1088" s="21" t="s">
        <v>74</v>
      </c>
      <c r="W1088" s="21" t="s">
        <v>75</v>
      </c>
      <c r="X1088" s="161" t="s">
        <v>4111</v>
      </c>
      <c r="Y1088" s="161" t="s">
        <v>4139</v>
      </c>
      <c r="Z1088" s="161">
        <v>1.2</v>
      </c>
      <c r="AA1088" s="161" t="s">
        <v>77</v>
      </c>
      <c r="AB1088" s="161" t="s">
        <v>114</v>
      </c>
      <c r="AC1088" s="266" t="str">
        <f>HYPERLINK("https://gcsvt.ru/svetodiodnyie-svetilniki/svt-arh-direct-300-12w-10kh60/","Ссылка")</f>
        <v>Ссылка</v>
      </c>
      <c r="AD1088" s="167">
        <v>7820</v>
      </c>
    </row>
    <row r="1089" spans="1:30" s="161" customFormat="1" ht="39.950000000000003" hidden="1" customHeight="1" outlineLevel="2" x14ac:dyDescent="0.25">
      <c r="A1089" s="6"/>
      <c r="B1089" s="21" t="s">
        <v>3423</v>
      </c>
      <c r="C1089" s="159" t="s">
        <v>4039</v>
      </c>
      <c r="D1089" s="161">
        <v>2888</v>
      </c>
      <c r="E1089" s="161">
        <v>19</v>
      </c>
      <c r="F1089" s="161">
        <v>152</v>
      </c>
      <c r="G1089" s="161" t="s">
        <v>4156</v>
      </c>
      <c r="H1089" s="161" t="s">
        <v>4032</v>
      </c>
      <c r="I1089" s="161">
        <v>67</v>
      </c>
      <c r="J1089" s="161" t="s">
        <v>105</v>
      </c>
      <c r="K1089" s="21" t="s">
        <v>106</v>
      </c>
      <c r="L1089" s="161" t="s">
        <v>3380</v>
      </c>
      <c r="M1089" s="21" t="s">
        <v>2107</v>
      </c>
      <c r="N1089" s="161" t="s">
        <v>67</v>
      </c>
      <c r="O1089" s="21" t="s">
        <v>3424</v>
      </c>
      <c r="P1089" s="161" t="s">
        <v>109</v>
      </c>
      <c r="Q1089" s="21" t="s">
        <v>70</v>
      </c>
      <c r="R1089" s="161">
        <v>70</v>
      </c>
      <c r="S1089" s="161" t="s">
        <v>3377</v>
      </c>
      <c r="T1089" s="161" t="s">
        <v>174</v>
      </c>
      <c r="U1089" s="161" t="s">
        <v>73</v>
      </c>
      <c r="V1089" s="21" t="s">
        <v>74</v>
      </c>
      <c r="W1089" s="21" t="s">
        <v>75</v>
      </c>
      <c r="X1089" s="161" t="s">
        <v>4112</v>
      </c>
      <c r="Y1089" s="161" t="s">
        <v>4140</v>
      </c>
      <c r="Z1089" s="161">
        <v>1.55</v>
      </c>
      <c r="AA1089" s="161" t="s">
        <v>77</v>
      </c>
      <c r="AB1089" s="161" t="s">
        <v>114</v>
      </c>
      <c r="AC1089" s="266" t="str">
        <f>HYPERLINK("https://gcsvt.ru/svetodiodnyie-svetilniki/svt-arh-direct-450-19w-120/","Ссылка")</f>
        <v>Ссылка</v>
      </c>
      <c r="AD1089" s="167">
        <v>8194</v>
      </c>
    </row>
    <row r="1090" spans="1:30" s="161" customFormat="1" ht="39.950000000000003" hidden="1" customHeight="1" outlineLevel="2" x14ac:dyDescent="0.25">
      <c r="A1090" s="6"/>
      <c r="B1090" s="21" t="s">
        <v>3423</v>
      </c>
      <c r="C1090" s="159" t="s">
        <v>4040</v>
      </c>
      <c r="D1090" s="161">
        <v>2793</v>
      </c>
      <c r="E1090" s="161">
        <v>19</v>
      </c>
      <c r="F1090" s="161">
        <v>147</v>
      </c>
      <c r="G1090" s="161" t="s">
        <v>4157</v>
      </c>
      <c r="H1090" s="161" t="s">
        <v>3123</v>
      </c>
      <c r="I1090" s="161">
        <v>67</v>
      </c>
      <c r="J1090" s="161" t="s">
        <v>105</v>
      </c>
      <c r="K1090" s="21" t="s">
        <v>106</v>
      </c>
      <c r="L1090" s="161" t="s">
        <v>3380</v>
      </c>
      <c r="M1090" s="21" t="s">
        <v>2107</v>
      </c>
      <c r="N1090" s="161" t="s">
        <v>67</v>
      </c>
      <c r="O1090" s="21" t="s">
        <v>3424</v>
      </c>
      <c r="P1090" s="161" t="s">
        <v>109</v>
      </c>
      <c r="Q1090" s="21" t="s">
        <v>70</v>
      </c>
      <c r="R1090" s="161">
        <v>70</v>
      </c>
      <c r="S1090" s="161" t="s">
        <v>3377</v>
      </c>
      <c r="T1090" s="161" t="s">
        <v>174</v>
      </c>
      <c r="U1090" s="161" t="s">
        <v>73</v>
      </c>
      <c r="V1090" s="21" t="s">
        <v>74</v>
      </c>
      <c r="W1090" s="21" t="s">
        <v>75</v>
      </c>
      <c r="X1090" s="161" t="s">
        <v>4112</v>
      </c>
      <c r="Y1090" s="161" t="s">
        <v>4140</v>
      </c>
      <c r="Z1090" s="161">
        <v>1.6</v>
      </c>
      <c r="AA1090" s="161" t="s">
        <v>77</v>
      </c>
      <c r="AB1090" s="161" t="s">
        <v>114</v>
      </c>
      <c r="AC1090" s="266" t="str">
        <f>HYPERLINK("https://gcsvt.ru/svetodiodnyie-svetilniki/svt-arh-direct-450-19w-8/","Ссылка")</f>
        <v>Ссылка</v>
      </c>
      <c r="AD1090" s="167">
        <v>9503</v>
      </c>
    </row>
    <row r="1091" spans="1:30" s="161" customFormat="1" ht="39.950000000000003" hidden="1" customHeight="1" outlineLevel="2" x14ac:dyDescent="0.25">
      <c r="A1091" s="6"/>
      <c r="B1091" s="21" t="s">
        <v>3423</v>
      </c>
      <c r="C1091" s="159" t="s">
        <v>4041</v>
      </c>
      <c r="D1091" s="161">
        <v>2793</v>
      </c>
      <c r="E1091" s="161">
        <v>19</v>
      </c>
      <c r="F1091" s="161">
        <v>147</v>
      </c>
      <c r="G1091" s="161" t="s">
        <v>4158</v>
      </c>
      <c r="H1091" s="161" t="s">
        <v>1805</v>
      </c>
      <c r="I1091" s="161">
        <v>67</v>
      </c>
      <c r="J1091" s="161" t="s">
        <v>105</v>
      </c>
      <c r="K1091" s="21" t="s">
        <v>106</v>
      </c>
      <c r="L1091" s="161" t="s">
        <v>3380</v>
      </c>
      <c r="M1091" s="21" t="s">
        <v>2107</v>
      </c>
      <c r="N1091" s="161" t="s">
        <v>67</v>
      </c>
      <c r="O1091" s="21" t="s">
        <v>3424</v>
      </c>
      <c r="P1091" s="161" t="s">
        <v>109</v>
      </c>
      <c r="Q1091" s="21" t="s">
        <v>70</v>
      </c>
      <c r="R1091" s="161">
        <v>70</v>
      </c>
      <c r="S1091" s="161" t="s">
        <v>3377</v>
      </c>
      <c r="T1091" s="161" t="s">
        <v>174</v>
      </c>
      <c r="U1091" s="161" t="s">
        <v>73</v>
      </c>
      <c r="V1091" s="21" t="s">
        <v>74</v>
      </c>
      <c r="W1091" s="21" t="s">
        <v>75</v>
      </c>
      <c r="X1091" s="161" t="s">
        <v>4112</v>
      </c>
      <c r="Y1091" s="161" t="s">
        <v>4140</v>
      </c>
      <c r="Z1091" s="161">
        <v>1.6</v>
      </c>
      <c r="AA1091" s="161" t="s">
        <v>77</v>
      </c>
      <c r="AB1091" s="161" t="s">
        <v>114</v>
      </c>
      <c r="AC1091" s="266" t="str">
        <f>HYPERLINK("https://gcsvt.ru/svetodiodnyie-svetilniki/svt-arh-direct-450-19w-15/","Ссылка")</f>
        <v>Ссылка</v>
      </c>
      <c r="AD1091" s="167">
        <v>9503</v>
      </c>
    </row>
    <row r="1092" spans="1:30" s="161" customFormat="1" ht="39.950000000000003" hidden="1" customHeight="1" outlineLevel="2" x14ac:dyDescent="0.25">
      <c r="A1092" s="6"/>
      <c r="B1092" s="21" t="s">
        <v>3423</v>
      </c>
      <c r="C1092" s="159" t="s">
        <v>4042</v>
      </c>
      <c r="D1092" s="161">
        <v>2793</v>
      </c>
      <c r="E1092" s="161">
        <v>19</v>
      </c>
      <c r="F1092" s="161">
        <v>147</v>
      </c>
      <c r="G1092" s="161" t="s">
        <v>4159</v>
      </c>
      <c r="H1092" s="161" t="s">
        <v>1756</v>
      </c>
      <c r="I1092" s="161">
        <v>67</v>
      </c>
      <c r="J1092" s="161" t="s">
        <v>105</v>
      </c>
      <c r="K1092" s="21" t="s">
        <v>106</v>
      </c>
      <c r="L1092" s="161" t="s">
        <v>3380</v>
      </c>
      <c r="M1092" s="21" t="s">
        <v>2107</v>
      </c>
      <c r="N1092" s="161" t="s">
        <v>67</v>
      </c>
      <c r="O1092" s="21" t="s">
        <v>3424</v>
      </c>
      <c r="P1092" s="161" t="s">
        <v>109</v>
      </c>
      <c r="Q1092" s="21" t="s">
        <v>70</v>
      </c>
      <c r="R1092" s="161">
        <v>70</v>
      </c>
      <c r="S1092" s="161" t="s">
        <v>3377</v>
      </c>
      <c r="T1092" s="161" t="s">
        <v>174</v>
      </c>
      <c r="U1092" s="161" t="s">
        <v>73</v>
      </c>
      <c r="V1092" s="21" t="s">
        <v>74</v>
      </c>
      <c r="W1092" s="21" t="s">
        <v>75</v>
      </c>
      <c r="X1092" s="161" t="s">
        <v>4112</v>
      </c>
      <c r="Y1092" s="161" t="s">
        <v>4140</v>
      </c>
      <c r="Z1092" s="161">
        <v>1.6</v>
      </c>
      <c r="AA1092" s="161" t="s">
        <v>77</v>
      </c>
      <c r="AB1092" s="161" t="s">
        <v>114</v>
      </c>
      <c r="AC1092" s="266" t="str">
        <f>HYPERLINK("https://gcsvt.ru/svetodiodnyie-svetilniki/svt-arh-direct-450-19w-25/","Ссылка")</f>
        <v>Ссылка</v>
      </c>
      <c r="AD1092" s="167">
        <v>9503</v>
      </c>
    </row>
    <row r="1093" spans="1:30" s="161" customFormat="1" ht="39.950000000000003" hidden="1" customHeight="1" outlineLevel="2" x14ac:dyDescent="0.25">
      <c r="A1093" s="6"/>
      <c r="B1093" s="21" t="s">
        <v>3423</v>
      </c>
      <c r="C1093" s="159" t="s">
        <v>4043</v>
      </c>
      <c r="D1093" s="161">
        <v>2793</v>
      </c>
      <c r="E1093" s="161">
        <v>19</v>
      </c>
      <c r="F1093" s="161">
        <v>147</v>
      </c>
      <c r="G1093" s="161" t="s">
        <v>4160</v>
      </c>
      <c r="H1093" s="161" t="s">
        <v>1577</v>
      </c>
      <c r="I1093" s="161">
        <v>67</v>
      </c>
      <c r="J1093" s="161" t="s">
        <v>105</v>
      </c>
      <c r="K1093" s="21" t="s">
        <v>106</v>
      </c>
      <c r="L1093" s="161" t="s">
        <v>3380</v>
      </c>
      <c r="M1093" s="21" t="s">
        <v>2107</v>
      </c>
      <c r="N1093" s="161" t="s">
        <v>67</v>
      </c>
      <c r="O1093" s="21" t="s">
        <v>3424</v>
      </c>
      <c r="P1093" s="161" t="s">
        <v>109</v>
      </c>
      <c r="Q1093" s="21" t="s">
        <v>70</v>
      </c>
      <c r="R1093" s="161">
        <v>70</v>
      </c>
      <c r="S1093" s="161" t="s">
        <v>3377</v>
      </c>
      <c r="T1093" s="161" t="s">
        <v>174</v>
      </c>
      <c r="U1093" s="161" t="s">
        <v>73</v>
      </c>
      <c r="V1093" s="21" t="s">
        <v>74</v>
      </c>
      <c r="W1093" s="21" t="s">
        <v>75</v>
      </c>
      <c r="X1093" s="161" t="s">
        <v>4112</v>
      </c>
      <c r="Y1093" s="161" t="s">
        <v>4140</v>
      </c>
      <c r="Z1093" s="161">
        <v>1.6</v>
      </c>
      <c r="AA1093" s="161" t="s">
        <v>77</v>
      </c>
      <c r="AB1093" s="161" t="s">
        <v>114</v>
      </c>
      <c r="AC1093" s="266" t="str">
        <f>HYPERLINK("https://gcsvt.ru/svetodiodnyie-svetilniki/svt-arh-direct-450-19w-45/","Ссылка")</f>
        <v>Ссылка</v>
      </c>
      <c r="AD1093" s="167">
        <v>9503</v>
      </c>
    </row>
    <row r="1094" spans="1:30" s="161" customFormat="1" ht="39.950000000000003" hidden="1" customHeight="1" outlineLevel="2" x14ac:dyDescent="0.25">
      <c r="A1094" s="6"/>
      <c r="B1094" s="21" t="s">
        <v>3423</v>
      </c>
      <c r="C1094" s="159" t="s">
        <v>4310</v>
      </c>
      <c r="D1094" s="161">
        <v>2793</v>
      </c>
      <c r="E1094" s="161">
        <v>19</v>
      </c>
      <c r="F1094" s="161">
        <v>147</v>
      </c>
      <c r="H1094" s="161" t="s">
        <v>4308</v>
      </c>
      <c r="I1094" s="161">
        <v>67</v>
      </c>
      <c r="J1094" s="161" t="s">
        <v>105</v>
      </c>
      <c r="K1094" s="21" t="s">
        <v>106</v>
      </c>
      <c r="L1094" s="161" t="s">
        <v>3380</v>
      </c>
      <c r="M1094" s="21" t="s">
        <v>2107</v>
      </c>
      <c r="N1094" s="161" t="s">
        <v>67</v>
      </c>
      <c r="O1094" s="21" t="s">
        <v>3424</v>
      </c>
      <c r="P1094" s="161" t="s">
        <v>109</v>
      </c>
      <c r="Q1094" s="21" t="s">
        <v>70</v>
      </c>
      <c r="R1094" s="161">
        <v>70</v>
      </c>
      <c r="S1094" s="161" t="s">
        <v>3377</v>
      </c>
      <c r="T1094" s="161" t="s">
        <v>174</v>
      </c>
      <c r="U1094" s="161" t="s">
        <v>73</v>
      </c>
      <c r="V1094" s="21" t="s">
        <v>74</v>
      </c>
      <c r="W1094" s="21" t="s">
        <v>75</v>
      </c>
      <c r="X1094" s="161" t="s">
        <v>4112</v>
      </c>
      <c r="Y1094" s="161" t="s">
        <v>4140</v>
      </c>
      <c r="Z1094" s="161">
        <v>1.6</v>
      </c>
      <c r="AA1094" s="161" t="s">
        <v>77</v>
      </c>
      <c r="AB1094" s="161" t="s">
        <v>114</v>
      </c>
      <c r="AC1094" s="266" t="str">
        <f>HYPERLINK("https://gcsvt.ru/svetodiodnyie-svetilniki/svt-arh-direct-450-19w-10kh60/","Ссылка")</f>
        <v>Ссылка</v>
      </c>
      <c r="AD1094" s="167">
        <v>9503</v>
      </c>
    </row>
    <row r="1095" spans="1:30" s="161" customFormat="1" ht="39.950000000000003" hidden="1" customHeight="1" outlineLevel="2" x14ac:dyDescent="0.25">
      <c r="A1095" s="6"/>
      <c r="B1095" s="21" t="s">
        <v>3423</v>
      </c>
      <c r="C1095" s="159" t="s">
        <v>4044</v>
      </c>
      <c r="D1095" s="161">
        <v>3800</v>
      </c>
      <c r="E1095" s="161">
        <v>25</v>
      </c>
      <c r="F1095" s="161">
        <v>152</v>
      </c>
      <c r="G1095" s="161" t="s">
        <v>4161</v>
      </c>
      <c r="H1095" s="161" t="s">
        <v>4032</v>
      </c>
      <c r="I1095" s="161">
        <v>67</v>
      </c>
      <c r="J1095" s="161" t="s">
        <v>105</v>
      </c>
      <c r="K1095" s="21" t="s">
        <v>106</v>
      </c>
      <c r="L1095" s="161" t="s">
        <v>3380</v>
      </c>
      <c r="M1095" s="21" t="s">
        <v>2107</v>
      </c>
      <c r="N1095" s="161" t="s">
        <v>67</v>
      </c>
      <c r="O1095" s="21" t="s">
        <v>3424</v>
      </c>
      <c r="P1095" s="161" t="s">
        <v>109</v>
      </c>
      <c r="Q1095" s="21" t="s">
        <v>70</v>
      </c>
      <c r="R1095" s="161">
        <v>70</v>
      </c>
      <c r="S1095" s="161" t="s">
        <v>3377</v>
      </c>
      <c r="T1095" s="161" t="s">
        <v>174</v>
      </c>
      <c r="U1095" s="161" t="s">
        <v>73</v>
      </c>
      <c r="V1095" s="21" t="s">
        <v>74</v>
      </c>
      <c r="W1095" s="21" t="s">
        <v>75</v>
      </c>
      <c r="X1095" s="161" t="s">
        <v>4113</v>
      </c>
      <c r="Y1095" s="161" t="s">
        <v>4141</v>
      </c>
      <c r="Z1095" s="161">
        <v>1.85</v>
      </c>
      <c r="AA1095" s="161" t="s">
        <v>77</v>
      </c>
      <c r="AB1095" s="161" t="s">
        <v>114</v>
      </c>
      <c r="AC1095" s="266" t="str">
        <f>HYPERLINK("https://gcsvt.ru/svetodiodnyie-svetilniki/svt-arh-direct-600-25w-120/","Ссылка")</f>
        <v>Ссылка</v>
      </c>
      <c r="AD1095" s="167">
        <v>9376</v>
      </c>
    </row>
    <row r="1096" spans="1:30" s="161" customFormat="1" ht="39.950000000000003" hidden="1" customHeight="1" outlineLevel="2" x14ac:dyDescent="0.25">
      <c r="A1096" s="6"/>
      <c r="B1096" s="21" t="s">
        <v>3423</v>
      </c>
      <c r="C1096" s="159" t="s">
        <v>4045</v>
      </c>
      <c r="D1096" s="161">
        <v>3675</v>
      </c>
      <c r="E1096" s="161">
        <v>25</v>
      </c>
      <c r="F1096" s="161">
        <v>147</v>
      </c>
      <c r="G1096" s="161" t="s">
        <v>4162</v>
      </c>
      <c r="H1096" s="161" t="s">
        <v>3123</v>
      </c>
      <c r="I1096" s="161">
        <v>67</v>
      </c>
      <c r="J1096" s="161" t="s">
        <v>105</v>
      </c>
      <c r="K1096" s="21" t="s">
        <v>106</v>
      </c>
      <c r="L1096" s="161" t="s">
        <v>3380</v>
      </c>
      <c r="M1096" s="21" t="s">
        <v>2107</v>
      </c>
      <c r="N1096" s="161" t="s">
        <v>67</v>
      </c>
      <c r="O1096" s="21" t="s">
        <v>3424</v>
      </c>
      <c r="P1096" s="161" t="s">
        <v>109</v>
      </c>
      <c r="Q1096" s="21" t="s">
        <v>70</v>
      </c>
      <c r="R1096" s="161">
        <v>70</v>
      </c>
      <c r="S1096" s="161" t="s">
        <v>3377</v>
      </c>
      <c r="T1096" s="161" t="s">
        <v>174</v>
      </c>
      <c r="U1096" s="161" t="s">
        <v>73</v>
      </c>
      <c r="V1096" s="21" t="s">
        <v>74</v>
      </c>
      <c r="W1096" s="21" t="s">
        <v>75</v>
      </c>
      <c r="X1096" s="161" t="s">
        <v>4113</v>
      </c>
      <c r="Y1096" s="161" t="s">
        <v>4141</v>
      </c>
      <c r="Z1096" s="161">
        <v>1.9</v>
      </c>
      <c r="AA1096" s="161" t="s">
        <v>77</v>
      </c>
      <c r="AB1096" s="161" t="s">
        <v>114</v>
      </c>
      <c r="AC1096" s="266" t="str">
        <f>HYPERLINK("https://gcsvt.ru/svetodiodnyie-svetilniki/svt-arh-direct-600-25w-8/","Ссылка")</f>
        <v>Ссылка</v>
      </c>
      <c r="AD1096" s="167">
        <v>11110</v>
      </c>
    </row>
    <row r="1097" spans="1:30" s="161" customFormat="1" ht="39.950000000000003" hidden="1" customHeight="1" outlineLevel="2" x14ac:dyDescent="0.25">
      <c r="A1097" s="6"/>
      <c r="B1097" s="21" t="s">
        <v>3423</v>
      </c>
      <c r="C1097" s="159" t="s">
        <v>4046</v>
      </c>
      <c r="D1097" s="161">
        <v>3675</v>
      </c>
      <c r="E1097" s="161">
        <v>25</v>
      </c>
      <c r="F1097" s="161">
        <v>147</v>
      </c>
      <c r="G1097" s="161" t="s">
        <v>4163</v>
      </c>
      <c r="H1097" s="161" t="s">
        <v>1805</v>
      </c>
      <c r="I1097" s="161">
        <v>67</v>
      </c>
      <c r="J1097" s="161" t="s">
        <v>105</v>
      </c>
      <c r="K1097" s="21" t="s">
        <v>106</v>
      </c>
      <c r="L1097" s="161" t="s">
        <v>3380</v>
      </c>
      <c r="M1097" s="21" t="s">
        <v>2107</v>
      </c>
      <c r="N1097" s="161" t="s">
        <v>67</v>
      </c>
      <c r="O1097" s="21" t="s">
        <v>3424</v>
      </c>
      <c r="P1097" s="161" t="s">
        <v>109</v>
      </c>
      <c r="Q1097" s="21" t="s">
        <v>70</v>
      </c>
      <c r="R1097" s="161">
        <v>70</v>
      </c>
      <c r="S1097" s="161" t="s">
        <v>3377</v>
      </c>
      <c r="T1097" s="161" t="s">
        <v>174</v>
      </c>
      <c r="U1097" s="161" t="s">
        <v>73</v>
      </c>
      <c r="V1097" s="21" t="s">
        <v>74</v>
      </c>
      <c r="W1097" s="21" t="s">
        <v>75</v>
      </c>
      <c r="X1097" s="161" t="s">
        <v>4113</v>
      </c>
      <c r="Y1097" s="161" t="s">
        <v>4141</v>
      </c>
      <c r="Z1097" s="161">
        <v>1.9</v>
      </c>
      <c r="AA1097" s="161" t="s">
        <v>77</v>
      </c>
      <c r="AB1097" s="161" t="s">
        <v>114</v>
      </c>
      <c r="AC1097" s="266" t="str">
        <f>HYPERLINK("https://gcsvt.ru/svetodiodnyie-svetilniki/svt-arh-direct-600-25w-15/","Ссылка")</f>
        <v>Ссылка</v>
      </c>
      <c r="AD1097" s="167">
        <v>11110</v>
      </c>
    </row>
    <row r="1098" spans="1:30" s="161" customFormat="1" ht="39.950000000000003" hidden="1" customHeight="1" outlineLevel="2" x14ac:dyDescent="0.25">
      <c r="A1098" s="6"/>
      <c r="B1098" s="21" t="s">
        <v>3423</v>
      </c>
      <c r="C1098" s="160" t="s">
        <v>4047</v>
      </c>
      <c r="D1098" s="161">
        <v>3675</v>
      </c>
      <c r="E1098" s="161">
        <v>25</v>
      </c>
      <c r="F1098" s="161">
        <v>147</v>
      </c>
      <c r="G1098" s="161" t="s">
        <v>4164</v>
      </c>
      <c r="H1098" s="161" t="s">
        <v>1756</v>
      </c>
      <c r="I1098" s="161">
        <v>67</v>
      </c>
      <c r="J1098" s="161" t="s">
        <v>105</v>
      </c>
      <c r="K1098" s="21" t="s">
        <v>106</v>
      </c>
      <c r="L1098" s="161" t="s">
        <v>3380</v>
      </c>
      <c r="M1098" s="21" t="s">
        <v>2107</v>
      </c>
      <c r="N1098" s="161" t="s">
        <v>67</v>
      </c>
      <c r="O1098" s="21" t="s">
        <v>3424</v>
      </c>
      <c r="P1098" s="161" t="s">
        <v>109</v>
      </c>
      <c r="Q1098" s="21" t="s">
        <v>70</v>
      </c>
      <c r="R1098" s="161">
        <v>70</v>
      </c>
      <c r="S1098" s="161" t="s">
        <v>3377</v>
      </c>
      <c r="T1098" s="161" t="s">
        <v>174</v>
      </c>
      <c r="U1098" s="161" t="s">
        <v>73</v>
      </c>
      <c r="V1098" s="21" t="s">
        <v>74</v>
      </c>
      <c r="W1098" s="21" t="s">
        <v>75</v>
      </c>
      <c r="X1098" s="161" t="s">
        <v>4113</v>
      </c>
      <c r="Y1098" s="161" t="s">
        <v>4141</v>
      </c>
      <c r="Z1098" s="161">
        <v>1.9</v>
      </c>
      <c r="AA1098" s="161" t="s">
        <v>77</v>
      </c>
      <c r="AB1098" s="161" t="s">
        <v>114</v>
      </c>
      <c r="AC1098" s="266" t="str">
        <f>HYPERLINK("https://gcsvt.ru/svetodiodnyie-svetilniki/svt-arh-direct-600-25w-25/","Ссылка")</f>
        <v>Ссылка</v>
      </c>
      <c r="AD1098" s="167">
        <v>11110</v>
      </c>
    </row>
    <row r="1099" spans="1:30" s="161" customFormat="1" ht="39.950000000000003" hidden="1" customHeight="1" outlineLevel="2" x14ac:dyDescent="0.25">
      <c r="A1099" s="6"/>
      <c r="B1099" s="21" t="s">
        <v>3423</v>
      </c>
      <c r="C1099" s="160" t="s">
        <v>4048</v>
      </c>
      <c r="D1099" s="161">
        <v>3675</v>
      </c>
      <c r="E1099" s="161">
        <v>25</v>
      </c>
      <c r="F1099" s="161">
        <v>147</v>
      </c>
      <c r="G1099" s="161" t="s">
        <v>4165</v>
      </c>
      <c r="H1099" s="161" t="s">
        <v>1577</v>
      </c>
      <c r="I1099" s="161">
        <v>67</v>
      </c>
      <c r="J1099" s="161" t="s">
        <v>105</v>
      </c>
      <c r="K1099" s="21" t="s">
        <v>106</v>
      </c>
      <c r="L1099" s="161" t="s">
        <v>3380</v>
      </c>
      <c r="M1099" s="21" t="s">
        <v>2107</v>
      </c>
      <c r="N1099" s="161" t="s">
        <v>67</v>
      </c>
      <c r="O1099" s="21" t="s">
        <v>3424</v>
      </c>
      <c r="P1099" s="161" t="s">
        <v>109</v>
      </c>
      <c r="Q1099" s="21" t="s">
        <v>70</v>
      </c>
      <c r="R1099" s="161">
        <v>70</v>
      </c>
      <c r="S1099" s="161" t="s">
        <v>3377</v>
      </c>
      <c r="T1099" s="161" t="s">
        <v>174</v>
      </c>
      <c r="U1099" s="161" t="s">
        <v>73</v>
      </c>
      <c r="V1099" s="21" t="s">
        <v>74</v>
      </c>
      <c r="W1099" s="21" t="s">
        <v>75</v>
      </c>
      <c r="X1099" s="161" t="s">
        <v>4113</v>
      </c>
      <c r="Y1099" s="161" t="s">
        <v>4141</v>
      </c>
      <c r="Z1099" s="161">
        <v>1.9</v>
      </c>
      <c r="AA1099" s="161" t="s">
        <v>77</v>
      </c>
      <c r="AB1099" s="161" t="s">
        <v>114</v>
      </c>
      <c r="AC1099" s="266" t="str">
        <f>HYPERLINK("https://gcsvt.ru/svetodiodnyie-svetilniki/svt-arh-direct-600-25w-45/","Ссылка")</f>
        <v>Ссылка</v>
      </c>
      <c r="AD1099" s="167">
        <v>11110</v>
      </c>
    </row>
    <row r="1100" spans="1:30" s="161" customFormat="1" ht="39.950000000000003" hidden="1" customHeight="1" outlineLevel="2" x14ac:dyDescent="0.25">
      <c r="A1100" s="6"/>
      <c r="B1100" s="21" t="s">
        <v>3423</v>
      </c>
      <c r="C1100" s="160" t="s">
        <v>4311</v>
      </c>
      <c r="D1100" s="161">
        <v>3675</v>
      </c>
      <c r="E1100" s="161">
        <v>25</v>
      </c>
      <c r="F1100" s="161">
        <v>147</v>
      </c>
      <c r="H1100" s="161" t="s">
        <v>4308</v>
      </c>
      <c r="I1100" s="161">
        <v>67</v>
      </c>
      <c r="J1100" s="161" t="s">
        <v>105</v>
      </c>
      <c r="K1100" s="21" t="s">
        <v>106</v>
      </c>
      <c r="L1100" s="161" t="s">
        <v>3380</v>
      </c>
      <c r="M1100" s="21" t="s">
        <v>2107</v>
      </c>
      <c r="N1100" s="161" t="s">
        <v>67</v>
      </c>
      <c r="O1100" s="21" t="s">
        <v>3424</v>
      </c>
      <c r="P1100" s="161" t="s">
        <v>109</v>
      </c>
      <c r="Q1100" s="21" t="s">
        <v>70</v>
      </c>
      <c r="R1100" s="161">
        <v>70</v>
      </c>
      <c r="S1100" s="161" t="s">
        <v>3377</v>
      </c>
      <c r="T1100" s="161" t="s">
        <v>174</v>
      </c>
      <c r="U1100" s="161" t="s">
        <v>73</v>
      </c>
      <c r="V1100" s="21" t="s">
        <v>74</v>
      </c>
      <c r="W1100" s="21" t="s">
        <v>75</v>
      </c>
      <c r="X1100" s="161" t="s">
        <v>4113</v>
      </c>
      <c r="Y1100" s="161" t="s">
        <v>4141</v>
      </c>
      <c r="Z1100" s="161">
        <v>1.9</v>
      </c>
      <c r="AA1100" s="161" t="s">
        <v>77</v>
      </c>
      <c r="AB1100" s="161" t="s">
        <v>114</v>
      </c>
      <c r="AC1100" s="266" t="str">
        <f>HYPERLINK("https://gcsvt.ru/svetodiodnyie-svetilniki/svt-arh-direct-600-25w-10kh60/","Ссылка")</f>
        <v>Ссылка</v>
      </c>
      <c r="AD1100" s="167">
        <v>11110</v>
      </c>
    </row>
    <row r="1101" spans="1:30" s="161" customFormat="1" ht="39.950000000000003" hidden="1" customHeight="1" outlineLevel="2" x14ac:dyDescent="0.25">
      <c r="A1101" s="6"/>
      <c r="B1101" s="21" t="s">
        <v>3423</v>
      </c>
      <c r="C1101" s="160" t="s">
        <v>4049</v>
      </c>
      <c r="D1101" s="161">
        <v>4712</v>
      </c>
      <c r="E1101" s="161">
        <v>31</v>
      </c>
      <c r="F1101" s="161">
        <v>152</v>
      </c>
      <c r="G1101" s="161" t="s">
        <v>4166</v>
      </c>
      <c r="H1101" s="161" t="s">
        <v>4032</v>
      </c>
      <c r="I1101" s="161">
        <v>67</v>
      </c>
      <c r="J1101" s="161" t="s">
        <v>105</v>
      </c>
      <c r="K1101" s="21" t="s">
        <v>106</v>
      </c>
      <c r="L1101" s="161" t="s">
        <v>3380</v>
      </c>
      <c r="M1101" s="21" t="s">
        <v>2107</v>
      </c>
      <c r="N1101" s="161" t="s">
        <v>67</v>
      </c>
      <c r="O1101" s="21" t="s">
        <v>3424</v>
      </c>
      <c r="P1101" s="161" t="s">
        <v>109</v>
      </c>
      <c r="Q1101" s="21" t="s">
        <v>70</v>
      </c>
      <c r="R1101" s="161">
        <v>70</v>
      </c>
      <c r="S1101" s="161" t="s">
        <v>3377</v>
      </c>
      <c r="T1101" s="161" t="s">
        <v>174</v>
      </c>
      <c r="U1101" s="161" t="s">
        <v>73</v>
      </c>
      <c r="V1101" s="21" t="s">
        <v>74</v>
      </c>
      <c r="W1101" s="21" t="s">
        <v>75</v>
      </c>
      <c r="X1101" s="161" t="s">
        <v>4114</v>
      </c>
      <c r="Y1101" s="161" t="s">
        <v>4142</v>
      </c>
      <c r="Z1101" s="161">
        <v>2.2000000000000002</v>
      </c>
      <c r="AA1101" s="161" t="s">
        <v>77</v>
      </c>
      <c r="AB1101" s="161" t="s">
        <v>114</v>
      </c>
      <c r="AC1101" s="266" t="str">
        <f>HYPERLINK("https://gcsvt.ru/svetodiodnyie-svetilniki/svt-arh-direct-750-31w-120/","Ссылка")</f>
        <v>Ссылка</v>
      </c>
      <c r="AD1101" s="167">
        <v>10608</v>
      </c>
    </row>
    <row r="1102" spans="1:30" s="161" customFormat="1" ht="39.950000000000003" hidden="1" customHeight="1" outlineLevel="2" x14ac:dyDescent="0.25">
      <c r="A1102" s="6"/>
      <c r="B1102" s="21" t="s">
        <v>3423</v>
      </c>
      <c r="C1102" s="160" t="s">
        <v>4050</v>
      </c>
      <c r="D1102" s="161">
        <v>4557</v>
      </c>
      <c r="E1102" s="161">
        <v>31</v>
      </c>
      <c r="F1102" s="161">
        <v>147</v>
      </c>
      <c r="G1102" s="161" t="s">
        <v>4167</v>
      </c>
      <c r="H1102" s="161" t="s">
        <v>3123</v>
      </c>
      <c r="I1102" s="161">
        <v>67</v>
      </c>
      <c r="J1102" s="161" t="s">
        <v>105</v>
      </c>
      <c r="K1102" s="21" t="s">
        <v>106</v>
      </c>
      <c r="L1102" s="161" t="s">
        <v>3380</v>
      </c>
      <c r="M1102" s="21" t="s">
        <v>2107</v>
      </c>
      <c r="N1102" s="161" t="s">
        <v>67</v>
      </c>
      <c r="O1102" s="21" t="s">
        <v>3424</v>
      </c>
      <c r="P1102" s="161" t="s">
        <v>109</v>
      </c>
      <c r="Q1102" s="21" t="s">
        <v>70</v>
      </c>
      <c r="R1102" s="161">
        <v>70</v>
      </c>
      <c r="S1102" s="161" t="s">
        <v>3377</v>
      </c>
      <c r="T1102" s="161" t="s">
        <v>174</v>
      </c>
      <c r="U1102" s="161" t="s">
        <v>73</v>
      </c>
      <c r="V1102" s="21" t="s">
        <v>74</v>
      </c>
      <c r="W1102" s="21" t="s">
        <v>75</v>
      </c>
      <c r="X1102" s="161" t="s">
        <v>4114</v>
      </c>
      <c r="Y1102" s="161" t="s">
        <v>4142</v>
      </c>
      <c r="Z1102" s="161">
        <v>2.25</v>
      </c>
      <c r="AA1102" s="161" t="s">
        <v>77</v>
      </c>
      <c r="AB1102" s="161" t="s">
        <v>114</v>
      </c>
      <c r="AC1102" s="266" t="str">
        <f>HYPERLINK("https://gcsvt.ru/svetodiodnyie-svetilniki/svt-arh-direct-750-31w-8/","Ссылка")</f>
        <v>Ссылка</v>
      </c>
      <c r="AD1102" s="167">
        <v>12750</v>
      </c>
    </row>
    <row r="1103" spans="1:30" s="161" customFormat="1" ht="39.950000000000003" hidden="1" customHeight="1" outlineLevel="2" x14ac:dyDescent="0.25">
      <c r="A1103" s="6"/>
      <c r="B1103" s="21" t="s">
        <v>3423</v>
      </c>
      <c r="C1103" s="160" t="s">
        <v>4051</v>
      </c>
      <c r="D1103" s="161">
        <v>4557</v>
      </c>
      <c r="E1103" s="161">
        <v>31</v>
      </c>
      <c r="F1103" s="161">
        <v>147</v>
      </c>
      <c r="G1103" s="161" t="s">
        <v>4168</v>
      </c>
      <c r="H1103" s="161" t="s">
        <v>1805</v>
      </c>
      <c r="I1103" s="161">
        <v>67</v>
      </c>
      <c r="J1103" s="161" t="s">
        <v>105</v>
      </c>
      <c r="K1103" s="21" t="s">
        <v>106</v>
      </c>
      <c r="L1103" s="161" t="s">
        <v>3380</v>
      </c>
      <c r="M1103" s="21" t="s">
        <v>2107</v>
      </c>
      <c r="N1103" s="161" t="s">
        <v>67</v>
      </c>
      <c r="O1103" s="21" t="s">
        <v>3424</v>
      </c>
      <c r="P1103" s="161" t="s">
        <v>109</v>
      </c>
      <c r="Q1103" s="21" t="s">
        <v>70</v>
      </c>
      <c r="R1103" s="161">
        <v>70</v>
      </c>
      <c r="S1103" s="161" t="s">
        <v>3377</v>
      </c>
      <c r="T1103" s="161" t="s">
        <v>174</v>
      </c>
      <c r="U1103" s="161" t="s">
        <v>73</v>
      </c>
      <c r="V1103" s="21" t="s">
        <v>74</v>
      </c>
      <c r="W1103" s="21" t="s">
        <v>75</v>
      </c>
      <c r="X1103" s="161" t="s">
        <v>4114</v>
      </c>
      <c r="Y1103" s="161" t="s">
        <v>4142</v>
      </c>
      <c r="Z1103" s="161">
        <v>2.25</v>
      </c>
      <c r="AA1103" s="161" t="s">
        <v>77</v>
      </c>
      <c r="AB1103" s="161" t="s">
        <v>114</v>
      </c>
      <c r="AC1103" s="266" t="str">
        <f>HYPERLINK("https://gcsvt.ru/svetodiodnyie-svetilniki/svt-arh-direct-750-31w-15/","Ссылка")</f>
        <v>Ссылка</v>
      </c>
      <c r="AD1103" s="167">
        <v>12750</v>
      </c>
    </row>
    <row r="1104" spans="1:30" s="161" customFormat="1" ht="39.950000000000003" hidden="1" customHeight="1" outlineLevel="2" x14ac:dyDescent="0.25">
      <c r="A1104" s="6"/>
      <c r="B1104" s="21" t="s">
        <v>3423</v>
      </c>
      <c r="C1104" s="160" t="s">
        <v>4052</v>
      </c>
      <c r="D1104" s="161">
        <v>4557</v>
      </c>
      <c r="E1104" s="161">
        <v>31</v>
      </c>
      <c r="F1104" s="161">
        <v>147</v>
      </c>
      <c r="G1104" s="161" t="s">
        <v>4169</v>
      </c>
      <c r="H1104" s="161" t="s">
        <v>1756</v>
      </c>
      <c r="I1104" s="161">
        <v>67</v>
      </c>
      <c r="J1104" s="161" t="s">
        <v>105</v>
      </c>
      <c r="K1104" s="21" t="s">
        <v>106</v>
      </c>
      <c r="L1104" s="161" t="s">
        <v>3380</v>
      </c>
      <c r="M1104" s="21" t="s">
        <v>2107</v>
      </c>
      <c r="N1104" s="161" t="s">
        <v>67</v>
      </c>
      <c r="O1104" s="21" t="s">
        <v>3424</v>
      </c>
      <c r="P1104" s="161" t="s">
        <v>109</v>
      </c>
      <c r="Q1104" s="21" t="s">
        <v>70</v>
      </c>
      <c r="R1104" s="161">
        <v>70</v>
      </c>
      <c r="S1104" s="161" t="s">
        <v>3377</v>
      </c>
      <c r="T1104" s="161" t="s">
        <v>174</v>
      </c>
      <c r="U1104" s="161" t="s">
        <v>73</v>
      </c>
      <c r="V1104" s="21" t="s">
        <v>74</v>
      </c>
      <c r="W1104" s="21" t="s">
        <v>75</v>
      </c>
      <c r="X1104" s="161" t="s">
        <v>4114</v>
      </c>
      <c r="Y1104" s="161" t="s">
        <v>4142</v>
      </c>
      <c r="Z1104" s="161">
        <v>2.25</v>
      </c>
      <c r="AA1104" s="161" t="s">
        <v>77</v>
      </c>
      <c r="AB1104" s="161" t="s">
        <v>114</v>
      </c>
      <c r="AC1104" s="266" t="str">
        <f>HYPERLINK("https://gcsvt.ru/svetodiodnyie-svetilniki/svt-arh-direct-750-31w-25/","Ссылка")</f>
        <v>Ссылка</v>
      </c>
      <c r="AD1104" s="167">
        <v>12750</v>
      </c>
    </row>
    <row r="1105" spans="1:30" s="161" customFormat="1" ht="39.950000000000003" hidden="1" customHeight="1" outlineLevel="2" x14ac:dyDescent="0.25">
      <c r="A1105" s="6"/>
      <c r="B1105" s="21" t="s">
        <v>3423</v>
      </c>
      <c r="C1105" s="159" t="s">
        <v>4053</v>
      </c>
      <c r="D1105" s="161">
        <v>4557</v>
      </c>
      <c r="E1105" s="161">
        <v>31</v>
      </c>
      <c r="F1105" s="161">
        <v>147</v>
      </c>
      <c r="G1105" s="161" t="s">
        <v>4170</v>
      </c>
      <c r="H1105" s="161" t="s">
        <v>1577</v>
      </c>
      <c r="I1105" s="161">
        <v>67</v>
      </c>
      <c r="J1105" s="161" t="s">
        <v>105</v>
      </c>
      <c r="K1105" s="21" t="s">
        <v>106</v>
      </c>
      <c r="L1105" s="161" t="s">
        <v>3380</v>
      </c>
      <c r="M1105" s="21" t="s">
        <v>2107</v>
      </c>
      <c r="N1105" s="161" t="s">
        <v>67</v>
      </c>
      <c r="O1105" s="21" t="s">
        <v>3424</v>
      </c>
      <c r="P1105" s="161" t="s">
        <v>109</v>
      </c>
      <c r="Q1105" s="21" t="s">
        <v>70</v>
      </c>
      <c r="R1105" s="161">
        <v>70</v>
      </c>
      <c r="S1105" s="161" t="s">
        <v>3377</v>
      </c>
      <c r="T1105" s="161" t="s">
        <v>174</v>
      </c>
      <c r="U1105" s="161" t="s">
        <v>73</v>
      </c>
      <c r="V1105" s="21" t="s">
        <v>74</v>
      </c>
      <c r="W1105" s="21" t="s">
        <v>75</v>
      </c>
      <c r="X1105" s="161" t="s">
        <v>4114</v>
      </c>
      <c r="Y1105" s="161" t="s">
        <v>4142</v>
      </c>
      <c r="Z1105" s="161">
        <v>2.25</v>
      </c>
      <c r="AA1105" s="161" t="s">
        <v>77</v>
      </c>
      <c r="AB1105" s="161" t="s">
        <v>114</v>
      </c>
      <c r="AC1105" s="266" t="str">
        <f>HYPERLINK("https://gcsvt.ru/svetodiodnyie-svetilniki/svt-arh-direct-750-31w-45/","Ссылка")</f>
        <v>Ссылка</v>
      </c>
      <c r="AD1105" s="167">
        <v>12750</v>
      </c>
    </row>
    <row r="1106" spans="1:30" s="161" customFormat="1" ht="39.950000000000003" hidden="1" customHeight="1" outlineLevel="2" x14ac:dyDescent="0.25">
      <c r="A1106" s="6"/>
      <c r="B1106" s="21" t="s">
        <v>3423</v>
      </c>
      <c r="C1106" s="159" t="s">
        <v>4312</v>
      </c>
      <c r="D1106" s="161">
        <v>4557</v>
      </c>
      <c r="E1106" s="161">
        <v>31</v>
      </c>
      <c r="F1106" s="161">
        <v>147</v>
      </c>
      <c r="H1106" s="161" t="s">
        <v>4308</v>
      </c>
      <c r="I1106" s="161">
        <v>67</v>
      </c>
      <c r="J1106" s="161" t="s">
        <v>105</v>
      </c>
      <c r="K1106" s="21" t="s">
        <v>106</v>
      </c>
      <c r="L1106" s="161" t="s">
        <v>3380</v>
      </c>
      <c r="M1106" s="21" t="s">
        <v>2107</v>
      </c>
      <c r="N1106" s="161" t="s">
        <v>67</v>
      </c>
      <c r="O1106" s="21" t="s">
        <v>3424</v>
      </c>
      <c r="P1106" s="161" t="s">
        <v>109</v>
      </c>
      <c r="Q1106" s="21" t="s">
        <v>70</v>
      </c>
      <c r="R1106" s="161">
        <v>70</v>
      </c>
      <c r="S1106" s="161" t="s">
        <v>3377</v>
      </c>
      <c r="T1106" s="161" t="s">
        <v>174</v>
      </c>
      <c r="U1106" s="161" t="s">
        <v>73</v>
      </c>
      <c r="V1106" s="21" t="s">
        <v>74</v>
      </c>
      <c r="W1106" s="21" t="s">
        <v>75</v>
      </c>
      <c r="X1106" s="161" t="s">
        <v>4114</v>
      </c>
      <c r="Y1106" s="161" t="s">
        <v>4142</v>
      </c>
      <c r="Z1106" s="161">
        <v>2.25</v>
      </c>
      <c r="AA1106" s="161" t="s">
        <v>77</v>
      </c>
      <c r="AB1106" s="161" t="s">
        <v>114</v>
      </c>
      <c r="AC1106" s="266" t="str">
        <f>HYPERLINK("https://gcsvt.ru/svetodiodnyie-svetilniki/svt-arh-direct-750-31w-10kh60/","Ссылка")</f>
        <v>Ссылка</v>
      </c>
      <c r="AD1106" s="167">
        <v>12750</v>
      </c>
    </row>
    <row r="1107" spans="1:30" s="161" customFormat="1" ht="39.950000000000003" hidden="1" customHeight="1" outlineLevel="2" x14ac:dyDescent="0.25">
      <c r="A1107" s="6"/>
      <c r="B1107" s="21" t="s">
        <v>3423</v>
      </c>
      <c r="C1107" s="160" t="s">
        <v>4054</v>
      </c>
      <c r="D1107" s="161">
        <v>5624</v>
      </c>
      <c r="E1107" s="161">
        <v>37</v>
      </c>
      <c r="F1107" s="161">
        <v>152</v>
      </c>
      <c r="G1107" s="161" t="s">
        <v>4171</v>
      </c>
      <c r="H1107" s="161" t="s">
        <v>4032</v>
      </c>
      <c r="I1107" s="161">
        <v>67</v>
      </c>
      <c r="J1107" s="161" t="s">
        <v>105</v>
      </c>
      <c r="K1107" s="21" t="s">
        <v>106</v>
      </c>
      <c r="L1107" s="161" t="s">
        <v>3380</v>
      </c>
      <c r="M1107" s="21" t="s">
        <v>2107</v>
      </c>
      <c r="N1107" s="161" t="s">
        <v>67</v>
      </c>
      <c r="O1107" s="21" t="s">
        <v>3424</v>
      </c>
      <c r="P1107" s="161" t="s">
        <v>109</v>
      </c>
      <c r="Q1107" s="21" t="s">
        <v>70</v>
      </c>
      <c r="R1107" s="161">
        <v>70</v>
      </c>
      <c r="S1107" s="161" t="s">
        <v>3377</v>
      </c>
      <c r="T1107" s="161" t="s">
        <v>174</v>
      </c>
      <c r="U1107" s="161" t="s">
        <v>73</v>
      </c>
      <c r="V1107" s="21" t="s">
        <v>74</v>
      </c>
      <c r="W1107" s="21" t="s">
        <v>75</v>
      </c>
      <c r="X1107" s="161" t="s">
        <v>4115</v>
      </c>
      <c r="Y1107" s="161" t="s">
        <v>4143</v>
      </c>
      <c r="Z1107" s="161">
        <v>2.5</v>
      </c>
      <c r="AA1107" s="161" t="s">
        <v>77</v>
      </c>
      <c r="AB1107" s="161" t="s">
        <v>114</v>
      </c>
      <c r="AC1107" s="266" t="str">
        <f>HYPERLINK("https://gcsvt.ru/svetodiodnyie-svetilniki/svt-arh-direct-900-37w-120/","Ссылка")</f>
        <v>Ссылка</v>
      </c>
      <c r="AD1107" s="167">
        <v>11756</v>
      </c>
    </row>
    <row r="1108" spans="1:30" s="161" customFormat="1" ht="39.950000000000003" hidden="1" customHeight="1" outlineLevel="2" x14ac:dyDescent="0.25">
      <c r="A1108" s="6"/>
      <c r="B1108" s="21" t="s">
        <v>3423</v>
      </c>
      <c r="C1108" s="160" t="s">
        <v>4055</v>
      </c>
      <c r="D1108" s="161">
        <v>5439</v>
      </c>
      <c r="E1108" s="161">
        <v>37</v>
      </c>
      <c r="F1108" s="161">
        <v>147</v>
      </c>
      <c r="G1108" s="161" t="s">
        <v>4172</v>
      </c>
      <c r="H1108" s="161" t="s">
        <v>3123</v>
      </c>
      <c r="I1108" s="161">
        <v>67</v>
      </c>
      <c r="J1108" s="161" t="s">
        <v>105</v>
      </c>
      <c r="K1108" s="21" t="s">
        <v>106</v>
      </c>
      <c r="L1108" s="161" t="s">
        <v>3380</v>
      </c>
      <c r="M1108" s="21" t="s">
        <v>2107</v>
      </c>
      <c r="N1108" s="161" t="s">
        <v>67</v>
      </c>
      <c r="O1108" s="21" t="s">
        <v>3424</v>
      </c>
      <c r="P1108" s="161" t="s">
        <v>109</v>
      </c>
      <c r="Q1108" s="21" t="s">
        <v>70</v>
      </c>
      <c r="R1108" s="161">
        <v>70</v>
      </c>
      <c r="S1108" s="161" t="s">
        <v>3377</v>
      </c>
      <c r="T1108" s="161" t="s">
        <v>174</v>
      </c>
      <c r="U1108" s="161" t="s">
        <v>73</v>
      </c>
      <c r="V1108" s="21" t="s">
        <v>74</v>
      </c>
      <c r="W1108" s="21" t="s">
        <v>75</v>
      </c>
      <c r="X1108" s="161" t="s">
        <v>4115</v>
      </c>
      <c r="Y1108" s="161" t="s">
        <v>4143</v>
      </c>
      <c r="Z1108" s="161">
        <v>2.6</v>
      </c>
      <c r="AA1108" s="161" t="s">
        <v>77</v>
      </c>
      <c r="AB1108" s="161" t="s">
        <v>114</v>
      </c>
      <c r="AC1108" s="266" t="str">
        <f>HYPERLINK("https://gcsvt.ru/svetodiodnyie-svetilniki/svt-arh-direct-900-37w-8/","Ссылка")</f>
        <v>Ссылка</v>
      </c>
      <c r="AD1108" s="167">
        <v>14314</v>
      </c>
    </row>
    <row r="1109" spans="1:30" s="161" customFormat="1" ht="39.950000000000003" hidden="1" customHeight="1" outlineLevel="2" x14ac:dyDescent="0.25">
      <c r="A1109" s="6"/>
      <c r="B1109" s="21" t="s">
        <v>3423</v>
      </c>
      <c r="C1109" s="160" t="s">
        <v>4056</v>
      </c>
      <c r="D1109" s="161">
        <v>5439</v>
      </c>
      <c r="E1109" s="161">
        <v>37</v>
      </c>
      <c r="F1109" s="161">
        <v>147</v>
      </c>
      <c r="G1109" s="161" t="s">
        <v>4173</v>
      </c>
      <c r="H1109" s="161" t="s">
        <v>1805</v>
      </c>
      <c r="I1109" s="161">
        <v>67</v>
      </c>
      <c r="J1109" s="161" t="s">
        <v>105</v>
      </c>
      <c r="K1109" s="21" t="s">
        <v>106</v>
      </c>
      <c r="L1109" s="161" t="s">
        <v>3380</v>
      </c>
      <c r="M1109" s="21" t="s">
        <v>2107</v>
      </c>
      <c r="N1109" s="161" t="s">
        <v>67</v>
      </c>
      <c r="O1109" s="21" t="s">
        <v>3424</v>
      </c>
      <c r="P1109" s="161" t="s">
        <v>109</v>
      </c>
      <c r="Q1109" s="21" t="s">
        <v>70</v>
      </c>
      <c r="R1109" s="161">
        <v>70</v>
      </c>
      <c r="S1109" s="161" t="s">
        <v>3377</v>
      </c>
      <c r="T1109" s="161" t="s">
        <v>174</v>
      </c>
      <c r="U1109" s="161" t="s">
        <v>73</v>
      </c>
      <c r="V1109" s="21" t="s">
        <v>74</v>
      </c>
      <c r="W1109" s="21" t="s">
        <v>75</v>
      </c>
      <c r="X1109" s="161" t="s">
        <v>4115</v>
      </c>
      <c r="Y1109" s="161" t="s">
        <v>4143</v>
      </c>
      <c r="Z1109" s="161">
        <v>2.6</v>
      </c>
      <c r="AA1109" s="161" t="s">
        <v>77</v>
      </c>
      <c r="AB1109" s="161" t="s">
        <v>114</v>
      </c>
      <c r="AC1109" s="266" t="str">
        <f>HYPERLINK("https://gcsvt.ru/svetodiodnyie-svetilniki/svt-arh-direct-900-37w-15/","Ссылка")</f>
        <v>Ссылка</v>
      </c>
      <c r="AD1109" s="167">
        <v>14314</v>
      </c>
    </row>
    <row r="1110" spans="1:30" s="161" customFormat="1" ht="39.950000000000003" hidden="1" customHeight="1" outlineLevel="2" x14ac:dyDescent="0.25">
      <c r="A1110" s="6"/>
      <c r="B1110" s="21" t="s">
        <v>3423</v>
      </c>
      <c r="C1110" s="160" t="s">
        <v>4057</v>
      </c>
      <c r="D1110" s="161">
        <v>5439</v>
      </c>
      <c r="E1110" s="161">
        <v>37</v>
      </c>
      <c r="F1110" s="161">
        <v>147</v>
      </c>
      <c r="G1110" s="161" t="s">
        <v>4174</v>
      </c>
      <c r="H1110" s="161" t="s">
        <v>1756</v>
      </c>
      <c r="I1110" s="161">
        <v>67</v>
      </c>
      <c r="J1110" s="161" t="s">
        <v>105</v>
      </c>
      <c r="K1110" s="21" t="s">
        <v>106</v>
      </c>
      <c r="L1110" s="161" t="s">
        <v>3380</v>
      </c>
      <c r="M1110" s="21" t="s">
        <v>2107</v>
      </c>
      <c r="N1110" s="161" t="s">
        <v>67</v>
      </c>
      <c r="O1110" s="21" t="s">
        <v>3424</v>
      </c>
      <c r="P1110" s="161" t="s">
        <v>109</v>
      </c>
      <c r="Q1110" s="21" t="s">
        <v>70</v>
      </c>
      <c r="R1110" s="161">
        <v>70</v>
      </c>
      <c r="S1110" s="161" t="s">
        <v>3377</v>
      </c>
      <c r="T1110" s="161" t="s">
        <v>174</v>
      </c>
      <c r="U1110" s="161" t="s">
        <v>73</v>
      </c>
      <c r="V1110" s="21" t="s">
        <v>74</v>
      </c>
      <c r="W1110" s="21" t="s">
        <v>75</v>
      </c>
      <c r="X1110" s="161" t="s">
        <v>4115</v>
      </c>
      <c r="Y1110" s="161" t="s">
        <v>4143</v>
      </c>
      <c r="Z1110" s="161">
        <v>2.6</v>
      </c>
      <c r="AA1110" s="161" t="s">
        <v>77</v>
      </c>
      <c r="AB1110" s="161" t="s">
        <v>114</v>
      </c>
      <c r="AC1110" s="266" t="str">
        <f>HYPERLINK("https://gcsvt.ru/svetodiodnyie-svetilniki/svt-arh-direct-900-37w-25/","Ссылка")</f>
        <v>Ссылка</v>
      </c>
      <c r="AD1110" s="167">
        <v>14314</v>
      </c>
    </row>
    <row r="1111" spans="1:30" s="161" customFormat="1" ht="39.950000000000003" hidden="1" customHeight="1" outlineLevel="2" x14ac:dyDescent="0.25">
      <c r="A1111" s="6"/>
      <c r="B1111" s="21" t="s">
        <v>3423</v>
      </c>
      <c r="C1111" s="160" t="s">
        <v>4058</v>
      </c>
      <c r="D1111" s="161">
        <v>5439</v>
      </c>
      <c r="E1111" s="161">
        <v>37</v>
      </c>
      <c r="F1111" s="161">
        <v>147</v>
      </c>
      <c r="G1111" s="161" t="s">
        <v>4175</v>
      </c>
      <c r="H1111" s="161" t="s">
        <v>1577</v>
      </c>
      <c r="I1111" s="161">
        <v>67</v>
      </c>
      <c r="J1111" s="161" t="s">
        <v>105</v>
      </c>
      <c r="K1111" s="21" t="s">
        <v>106</v>
      </c>
      <c r="L1111" s="161" t="s">
        <v>3380</v>
      </c>
      <c r="M1111" s="21" t="s">
        <v>2107</v>
      </c>
      <c r="N1111" s="161" t="s">
        <v>67</v>
      </c>
      <c r="O1111" s="21" t="s">
        <v>3424</v>
      </c>
      <c r="P1111" s="161" t="s">
        <v>109</v>
      </c>
      <c r="Q1111" s="21" t="s">
        <v>70</v>
      </c>
      <c r="R1111" s="161">
        <v>70</v>
      </c>
      <c r="S1111" s="161" t="s">
        <v>3377</v>
      </c>
      <c r="T1111" s="161" t="s">
        <v>174</v>
      </c>
      <c r="U1111" s="161" t="s">
        <v>73</v>
      </c>
      <c r="V1111" s="21" t="s">
        <v>74</v>
      </c>
      <c r="W1111" s="21" t="s">
        <v>75</v>
      </c>
      <c r="X1111" s="161" t="s">
        <v>4115</v>
      </c>
      <c r="Y1111" s="161" t="s">
        <v>4143</v>
      </c>
      <c r="Z1111" s="161">
        <v>2.6</v>
      </c>
      <c r="AA1111" s="161" t="s">
        <v>77</v>
      </c>
      <c r="AB1111" s="161" t="s">
        <v>114</v>
      </c>
      <c r="AC1111" s="266" t="str">
        <f>HYPERLINK("https://gcsvt.ru/svetodiodnyie-svetilniki/svt-arh-direct-900-37w-45/","Ссылка")</f>
        <v>Ссылка</v>
      </c>
      <c r="AD1111" s="167">
        <v>14314</v>
      </c>
    </row>
    <row r="1112" spans="1:30" s="161" customFormat="1" ht="39.950000000000003" hidden="1" customHeight="1" outlineLevel="2" x14ac:dyDescent="0.25">
      <c r="A1112" s="6"/>
      <c r="B1112" s="21" t="s">
        <v>3423</v>
      </c>
      <c r="C1112" s="160" t="s">
        <v>4313</v>
      </c>
      <c r="D1112" s="161">
        <v>5439</v>
      </c>
      <c r="E1112" s="161">
        <v>37</v>
      </c>
      <c r="F1112" s="161">
        <v>147</v>
      </c>
      <c r="H1112" s="161" t="s">
        <v>4308</v>
      </c>
      <c r="I1112" s="161">
        <v>67</v>
      </c>
      <c r="J1112" s="161" t="s">
        <v>105</v>
      </c>
      <c r="K1112" s="21" t="s">
        <v>106</v>
      </c>
      <c r="L1112" s="161" t="s">
        <v>3380</v>
      </c>
      <c r="M1112" s="21" t="s">
        <v>2107</v>
      </c>
      <c r="N1112" s="161" t="s">
        <v>67</v>
      </c>
      <c r="O1112" s="21" t="s">
        <v>3424</v>
      </c>
      <c r="P1112" s="161" t="s">
        <v>109</v>
      </c>
      <c r="Q1112" s="21" t="s">
        <v>70</v>
      </c>
      <c r="R1112" s="161">
        <v>70</v>
      </c>
      <c r="S1112" s="161" t="s">
        <v>3377</v>
      </c>
      <c r="T1112" s="161" t="s">
        <v>174</v>
      </c>
      <c r="U1112" s="161" t="s">
        <v>73</v>
      </c>
      <c r="V1112" s="21" t="s">
        <v>74</v>
      </c>
      <c r="W1112" s="21" t="s">
        <v>75</v>
      </c>
      <c r="X1112" s="161" t="s">
        <v>4115</v>
      </c>
      <c r="Y1112" s="161" t="s">
        <v>4143</v>
      </c>
      <c r="Z1112" s="161">
        <v>2.6</v>
      </c>
      <c r="AA1112" s="161" t="s">
        <v>77</v>
      </c>
      <c r="AB1112" s="161" t="s">
        <v>114</v>
      </c>
      <c r="AC1112" s="266" t="str">
        <f>HYPERLINK("https://gcsvt.ru/svetodiodnyie-svetilniki/svt-arh-direct-900-37w-10kh60/","Ссылка")</f>
        <v>Ссылка</v>
      </c>
      <c r="AD1112" s="167">
        <v>14314</v>
      </c>
    </row>
    <row r="1113" spans="1:30" s="161" customFormat="1" ht="39.950000000000003" hidden="1" customHeight="1" outlineLevel="2" x14ac:dyDescent="0.25">
      <c r="A1113" s="6"/>
      <c r="B1113" s="21" t="s">
        <v>3423</v>
      </c>
      <c r="C1113" s="160" t="s">
        <v>4059</v>
      </c>
      <c r="D1113" s="161">
        <v>7600</v>
      </c>
      <c r="E1113" s="161">
        <v>50</v>
      </c>
      <c r="F1113" s="161">
        <v>152</v>
      </c>
      <c r="G1113" s="161" t="s">
        <v>4176</v>
      </c>
      <c r="H1113" s="161" t="s">
        <v>4032</v>
      </c>
      <c r="I1113" s="161">
        <v>67</v>
      </c>
      <c r="J1113" s="161" t="s">
        <v>105</v>
      </c>
      <c r="K1113" s="21" t="s">
        <v>106</v>
      </c>
      <c r="L1113" s="161" t="s">
        <v>3380</v>
      </c>
      <c r="M1113" s="21" t="s">
        <v>2107</v>
      </c>
      <c r="N1113" s="161" t="s">
        <v>67</v>
      </c>
      <c r="O1113" s="21" t="s">
        <v>3424</v>
      </c>
      <c r="P1113" s="161" t="s">
        <v>109</v>
      </c>
      <c r="Q1113" s="21" t="s">
        <v>70</v>
      </c>
      <c r="R1113" s="161">
        <v>70</v>
      </c>
      <c r="S1113" s="161" t="s">
        <v>3377</v>
      </c>
      <c r="T1113" s="161" t="s">
        <v>174</v>
      </c>
      <c r="U1113" s="161" t="s">
        <v>73</v>
      </c>
      <c r="V1113" s="21" t="s">
        <v>74</v>
      </c>
      <c r="W1113" s="21" t="s">
        <v>75</v>
      </c>
      <c r="X1113" s="161" t="s">
        <v>4116</v>
      </c>
      <c r="Y1113" s="161" t="s">
        <v>4144</v>
      </c>
      <c r="Z1113" s="161">
        <v>3.2</v>
      </c>
      <c r="AA1113" s="161" t="s">
        <v>77</v>
      </c>
      <c r="AB1113" s="161" t="s">
        <v>114</v>
      </c>
      <c r="AC1113" s="266" t="str">
        <f>HYPERLINK("https://gcsvt.ru/svetodiodnyie-svetilniki/svt-arh-direct-1200-50w-120/","Ссылка")</f>
        <v>Ссылка</v>
      </c>
      <c r="AD1113" s="167">
        <v>14340</v>
      </c>
    </row>
    <row r="1114" spans="1:30" s="161" customFormat="1" ht="39.950000000000003" hidden="1" customHeight="1" outlineLevel="2" x14ac:dyDescent="0.25">
      <c r="A1114" s="6"/>
      <c r="B1114" s="21" t="s">
        <v>3423</v>
      </c>
      <c r="C1114" s="160" t="s">
        <v>4060</v>
      </c>
      <c r="D1114" s="161">
        <v>7350</v>
      </c>
      <c r="E1114" s="161">
        <v>50</v>
      </c>
      <c r="F1114" s="161">
        <v>147</v>
      </c>
      <c r="G1114" s="161" t="s">
        <v>4177</v>
      </c>
      <c r="H1114" s="161" t="s">
        <v>3123</v>
      </c>
      <c r="I1114" s="161">
        <v>67</v>
      </c>
      <c r="J1114" s="161" t="s">
        <v>105</v>
      </c>
      <c r="K1114" s="21" t="s">
        <v>106</v>
      </c>
      <c r="L1114" s="161" t="s">
        <v>3380</v>
      </c>
      <c r="M1114" s="21" t="s">
        <v>2107</v>
      </c>
      <c r="N1114" s="161" t="s">
        <v>67</v>
      </c>
      <c r="O1114" s="21" t="s">
        <v>3424</v>
      </c>
      <c r="P1114" s="161" t="s">
        <v>109</v>
      </c>
      <c r="Q1114" s="21" t="s">
        <v>70</v>
      </c>
      <c r="R1114" s="161">
        <v>70</v>
      </c>
      <c r="S1114" s="161" t="s">
        <v>3377</v>
      </c>
      <c r="T1114" s="161" t="s">
        <v>174</v>
      </c>
      <c r="U1114" s="161" t="s">
        <v>73</v>
      </c>
      <c r="V1114" s="21" t="s">
        <v>74</v>
      </c>
      <c r="W1114" s="21" t="s">
        <v>75</v>
      </c>
      <c r="X1114" s="161" t="s">
        <v>4116</v>
      </c>
      <c r="Y1114" s="161" t="s">
        <v>4144</v>
      </c>
      <c r="Z1114" s="161">
        <v>3.3</v>
      </c>
      <c r="AA1114" s="161" t="s">
        <v>77</v>
      </c>
      <c r="AB1114" s="161" t="s">
        <v>114</v>
      </c>
      <c r="AC1114" s="266" t="str">
        <f>HYPERLINK("https://gcsvt.ru/svetodiodnyie-svetilniki/svt-arh-direct-1200-50w-8/","Ссылка")</f>
        <v>Ссылка</v>
      </c>
      <c r="AD1114" s="167">
        <v>17723</v>
      </c>
    </row>
    <row r="1115" spans="1:30" s="161" customFormat="1" ht="39.950000000000003" hidden="1" customHeight="1" outlineLevel="2" x14ac:dyDescent="0.25">
      <c r="A1115" s="6"/>
      <c r="B1115" s="21" t="s">
        <v>3423</v>
      </c>
      <c r="C1115" s="160" t="s">
        <v>4061</v>
      </c>
      <c r="D1115" s="161">
        <v>7350</v>
      </c>
      <c r="E1115" s="161">
        <v>50</v>
      </c>
      <c r="F1115" s="161">
        <v>147</v>
      </c>
      <c r="G1115" s="161" t="s">
        <v>4178</v>
      </c>
      <c r="H1115" s="161" t="s">
        <v>1805</v>
      </c>
      <c r="I1115" s="161">
        <v>67</v>
      </c>
      <c r="J1115" s="161" t="s">
        <v>105</v>
      </c>
      <c r="K1115" s="21" t="s">
        <v>106</v>
      </c>
      <c r="L1115" s="161" t="s">
        <v>3380</v>
      </c>
      <c r="M1115" s="21" t="s">
        <v>2107</v>
      </c>
      <c r="N1115" s="161" t="s">
        <v>67</v>
      </c>
      <c r="O1115" s="21" t="s">
        <v>3424</v>
      </c>
      <c r="P1115" s="161" t="s">
        <v>109</v>
      </c>
      <c r="Q1115" s="21" t="s">
        <v>70</v>
      </c>
      <c r="R1115" s="161">
        <v>70</v>
      </c>
      <c r="S1115" s="161" t="s">
        <v>3377</v>
      </c>
      <c r="T1115" s="161" t="s">
        <v>174</v>
      </c>
      <c r="U1115" s="161" t="s">
        <v>73</v>
      </c>
      <c r="V1115" s="21" t="s">
        <v>74</v>
      </c>
      <c r="W1115" s="21" t="s">
        <v>75</v>
      </c>
      <c r="X1115" s="161" t="s">
        <v>4116</v>
      </c>
      <c r="Y1115" s="161" t="s">
        <v>4144</v>
      </c>
      <c r="Z1115" s="161">
        <v>3.3</v>
      </c>
      <c r="AA1115" s="161" t="s">
        <v>77</v>
      </c>
      <c r="AB1115" s="161" t="s">
        <v>114</v>
      </c>
      <c r="AC1115" s="266" t="str">
        <f>HYPERLINK("https://gcsvt.ru/svetodiodnyie-svetilniki/svt-arh-direct-1200-50w-15/","Ссылка")</f>
        <v>Ссылка</v>
      </c>
      <c r="AD1115" s="167">
        <v>17723</v>
      </c>
    </row>
    <row r="1116" spans="1:30" s="161" customFormat="1" ht="39.950000000000003" hidden="1" customHeight="1" outlineLevel="2" x14ac:dyDescent="0.25">
      <c r="A1116" s="6"/>
      <c r="B1116" s="21" t="s">
        <v>3423</v>
      </c>
      <c r="C1116" s="160" t="s">
        <v>4062</v>
      </c>
      <c r="D1116" s="161">
        <v>7350</v>
      </c>
      <c r="E1116" s="161">
        <v>50</v>
      </c>
      <c r="F1116" s="161">
        <v>147</v>
      </c>
      <c r="G1116" s="161" t="s">
        <v>4179</v>
      </c>
      <c r="H1116" s="161" t="s">
        <v>1756</v>
      </c>
      <c r="I1116" s="161">
        <v>67</v>
      </c>
      <c r="J1116" s="161" t="s">
        <v>105</v>
      </c>
      <c r="K1116" s="21" t="s">
        <v>106</v>
      </c>
      <c r="L1116" s="161" t="s">
        <v>3380</v>
      </c>
      <c r="M1116" s="21" t="s">
        <v>2107</v>
      </c>
      <c r="N1116" s="161" t="s">
        <v>67</v>
      </c>
      <c r="O1116" s="21" t="s">
        <v>3424</v>
      </c>
      <c r="P1116" s="161" t="s">
        <v>109</v>
      </c>
      <c r="Q1116" s="21" t="s">
        <v>70</v>
      </c>
      <c r="R1116" s="161">
        <v>70</v>
      </c>
      <c r="S1116" s="161" t="s">
        <v>3377</v>
      </c>
      <c r="T1116" s="161" t="s">
        <v>174</v>
      </c>
      <c r="U1116" s="161" t="s">
        <v>73</v>
      </c>
      <c r="V1116" s="21" t="s">
        <v>74</v>
      </c>
      <c r="W1116" s="21" t="s">
        <v>75</v>
      </c>
      <c r="X1116" s="161" t="s">
        <v>4116</v>
      </c>
      <c r="Y1116" s="161" t="s">
        <v>4144</v>
      </c>
      <c r="Z1116" s="161">
        <v>3.3</v>
      </c>
      <c r="AA1116" s="161" t="s">
        <v>77</v>
      </c>
      <c r="AB1116" s="161" t="s">
        <v>114</v>
      </c>
      <c r="AC1116" s="266" t="str">
        <f>HYPERLINK("https://gcsvt.ru/svetodiodnyie-svetilniki/svt-arh-direct-1200-50w-25/","Ссылка")</f>
        <v>Ссылка</v>
      </c>
      <c r="AD1116" s="167">
        <v>17723</v>
      </c>
    </row>
    <row r="1117" spans="1:30" s="161" customFormat="1" ht="39.950000000000003" hidden="1" customHeight="1" outlineLevel="2" x14ac:dyDescent="0.25">
      <c r="A1117" s="6"/>
      <c r="B1117" s="21" t="s">
        <v>3423</v>
      </c>
      <c r="C1117" s="160" t="s">
        <v>4063</v>
      </c>
      <c r="D1117" s="161">
        <v>7350</v>
      </c>
      <c r="E1117" s="161">
        <v>50</v>
      </c>
      <c r="F1117" s="161">
        <v>147</v>
      </c>
      <c r="G1117" s="161" t="s">
        <v>4180</v>
      </c>
      <c r="H1117" s="161" t="s">
        <v>1577</v>
      </c>
      <c r="I1117" s="161">
        <v>67</v>
      </c>
      <c r="J1117" s="161" t="s">
        <v>105</v>
      </c>
      <c r="K1117" s="21" t="s">
        <v>106</v>
      </c>
      <c r="L1117" s="161" t="s">
        <v>3380</v>
      </c>
      <c r="M1117" s="21" t="s">
        <v>2107</v>
      </c>
      <c r="N1117" s="161" t="s">
        <v>67</v>
      </c>
      <c r="O1117" s="21" t="s">
        <v>3424</v>
      </c>
      <c r="P1117" s="161" t="s">
        <v>109</v>
      </c>
      <c r="Q1117" s="21" t="s">
        <v>70</v>
      </c>
      <c r="R1117" s="161">
        <v>70</v>
      </c>
      <c r="S1117" s="161" t="s">
        <v>3377</v>
      </c>
      <c r="T1117" s="161" t="s">
        <v>174</v>
      </c>
      <c r="U1117" s="161" t="s">
        <v>73</v>
      </c>
      <c r="V1117" s="21" t="s">
        <v>74</v>
      </c>
      <c r="W1117" s="21" t="s">
        <v>75</v>
      </c>
      <c r="X1117" s="161" t="s">
        <v>4116</v>
      </c>
      <c r="Y1117" s="161" t="s">
        <v>4144</v>
      </c>
      <c r="Z1117" s="161">
        <v>3.3</v>
      </c>
      <c r="AA1117" s="161" t="s">
        <v>77</v>
      </c>
      <c r="AB1117" s="161" t="s">
        <v>114</v>
      </c>
      <c r="AC1117" s="266" t="str">
        <f>HYPERLINK("https://gcsvt.ru/svetodiodnyie-svetilniki/svt-arh-direct-1200-50w-45/","Ссылка")</f>
        <v>Ссылка</v>
      </c>
      <c r="AD1117" s="167">
        <v>17723</v>
      </c>
    </row>
    <row r="1118" spans="1:30" s="161" customFormat="1" ht="39.950000000000003" hidden="1" customHeight="1" outlineLevel="2" x14ac:dyDescent="0.25">
      <c r="A1118" s="6"/>
      <c r="B1118" s="21" t="s">
        <v>3423</v>
      </c>
      <c r="C1118" s="160" t="s">
        <v>4314</v>
      </c>
      <c r="D1118" s="161">
        <v>7350</v>
      </c>
      <c r="E1118" s="161">
        <v>50</v>
      </c>
      <c r="F1118" s="161">
        <v>147</v>
      </c>
      <c r="H1118" s="161" t="s">
        <v>4308</v>
      </c>
      <c r="I1118" s="161">
        <v>67</v>
      </c>
      <c r="J1118" s="161" t="s">
        <v>105</v>
      </c>
      <c r="K1118" s="21" t="s">
        <v>106</v>
      </c>
      <c r="L1118" s="161" t="s">
        <v>3380</v>
      </c>
      <c r="M1118" s="21" t="s">
        <v>2107</v>
      </c>
      <c r="N1118" s="161" t="s">
        <v>67</v>
      </c>
      <c r="O1118" s="21" t="s">
        <v>3424</v>
      </c>
      <c r="P1118" s="161" t="s">
        <v>109</v>
      </c>
      <c r="Q1118" s="21" t="s">
        <v>70</v>
      </c>
      <c r="R1118" s="161">
        <v>70</v>
      </c>
      <c r="S1118" s="161" t="s">
        <v>3377</v>
      </c>
      <c r="T1118" s="161" t="s">
        <v>174</v>
      </c>
      <c r="U1118" s="161" t="s">
        <v>73</v>
      </c>
      <c r="V1118" s="21" t="s">
        <v>74</v>
      </c>
      <c r="W1118" s="21" t="s">
        <v>75</v>
      </c>
      <c r="X1118" s="161" t="s">
        <v>4116</v>
      </c>
      <c r="Y1118" s="161" t="s">
        <v>4144</v>
      </c>
      <c r="Z1118" s="161">
        <v>3.3</v>
      </c>
      <c r="AA1118" s="161" t="s">
        <v>77</v>
      </c>
      <c r="AB1118" s="161" t="s">
        <v>114</v>
      </c>
      <c r="AC1118" s="266" t="str">
        <f>HYPERLINK("https://gcsvt.ru/svetodiodnyie-svetilniki/svt-arh-direct-1200-50w-10kh60/","Ссылка")</f>
        <v>Ссылка</v>
      </c>
      <c r="AD1118" s="167">
        <v>17723</v>
      </c>
    </row>
    <row r="1119" spans="1:30" s="161" customFormat="1" ht="39.950000000000003" hidden="1" customHeight="1" outlineLevel="2" x14ac:dyDescent="0.25">
      <c r="A1119" s="6"/>
      <c r="B1119" s="21" t="s">
        <v>3423</v>
      </c>
      <c r="C1119" s="160" t="s">
        <v>4064</v>
      </c>
      <c r="D1119" s="161">
        <v>9424</v>
      </c>
      <c r="E1119" s="161">
        <v>62</v>
      </c>
      <c r="F1119" s="161">
        <v>152</v>
      </c>
      <c r="G1119" s="161" t="s">
        <v>4181</v>
      </c>
      <c r="H1119" s="161" t="s">
        <v>4032</v>
      </c>
      <c r="I1119" s="161">
        <v>67</v>
      </c>
      <c r="J1119" s="161" t="s">
        <v>105</v>
      </c>
      <c r="K1119" s="21" t="s">
        <v>106</v>
      </c>
      <c r="L1119" s="161" t="s">
        <v>3380</v>
      </c>
      <c r="M1119" s="21" t="s">
        <v>2107</v>
      </c>
      <c r="N1119" s="161" t="s">
        <v>67</v>
      </c>
      <c r="O1119" s="21" t="s">
        <v>3424</v>
      </c>
      <c r="P1119" s="161" t="s">
        <v>109</v>
      </c>
      <c r="Q1119" s="21" t="s">
        <v>70</v>
      </c>
      <c r="R1119" s="161">
        <v>70</v>
      </c>
      <c r="S1119" s="161" t="s">
        <v>3377</v>
      </c>
      <c r="T1119" s="161" t="s">
        <v>174</v>
      </c>
      <c r="U1119" s="161" t="s">
        <v>73</v>
      </c>
      <c r="V1119" s="21" t="s">
        <v>74</v>
      </c>
      <c r="W1119" s="21" t="s">
        <v>75</v>
      </c>
      <c r="X1119" s="161" t="s">
        <v>4117</v>
      </c>
      <c r="Y1119" s="161" t="s">
        <v>4145</v>
      </c>
      <c r="Z1119" s="161">
        <v>3.85</v>
      </c>
      <c r="AA1119" s="161" t="s">
        <v>77</v>
      </c>
      <c r="AB1119" s="161" t="s">
        <v>114</v>
      </c>
      <c r="AC1119" s="266" t="str">
        <f>HYPERLINK("https://gcsvt.ru/svetodiodnyie-svetilniki/svt-arh-direct-1500-62w-120/","Ссылка")</f>
        <v>Ссылка</v>
      </c>
      <c r="AD1119" s="167">
        <v>16567</v>
      </c>
    </row>
    <row r="1120" spans="1:30" s="161" customFormat="1" ht="39.950000000000003" hidden="1" customHeight="1" outlineLevel="2" x14ac:dyDescent="0.25">
      <c r="A1120" s="6"/>
      <c r="B1120" s="21" t="s">
        <v>3423</v>
      </c>
      <c r="C1120" s="160" t="s">
        <v>4065</v>
      </c>
      <c r="D1120" s="161">
        <v>9114</v>
      </c>
      <c r="E1120" s="161">
        <v>62</v>
      </c>
      <c r="F1120" s="161">
        <v>147</v>
      </c>
      <c r="G1120" s="161" t="s">
        <v>4182</v>
      </c>
      <c r="H1120" s="161" t="s">
        <v>3123</v>
      </c>
      <c r="I1120" s="161">
        <v>67</v>
      </c>
      <c r="J1120" s="161" t="s">
        <v>105</v>
      </c>
      <c r="K1120" s="21" t="s">
        <v>106</v>
      </c>
      <c r="L1120" s="161" t="s">
        <v>3380</v>
      </c>
      <c r="M1120" s="21" t="s">
        <v>2107</v>
      </c>
      <c r="N1120" s="161" t="s">
        <v>67</v>
      </c>
      <c r="O1120" s="21" t="s">
        <v>3424</v>
      </c>
      <c r="P1120" s="161" t="s">
        <v>109</v>
      </c>
      <c r="Q1120" s="21" t="s">
        <v>70</v>
      </c>
      <c r="R1120" s="161">
        <v>70</v>
      </c>
      <c r="S1120" s="161" t="s">
        <v>3377</v>
      </c>
      <c r="T1120" s="161" t="s">
        <v>174</v>
      </c>
      <c r="U1120" s="161" t="s">
        <v>73</v>
      </c>
      <c r="V1120" s="21" t="s">
        <v>74</v>
      </c>
      <c r="W1120" s="21" t="s">
        <v>75</v>
      </c>
      <c r="X1120" s="161" t="s">
        <v>4117</v>
      </c>
      <c r="Y1120" s="161" t="s">
        <v>4145</v>
      </c>
      <c r="Z1120" s="161">
        <v>3.95</v>
      </c>
      <c r="AA1120" s="161" t="s">
        <v>77</v>
      </c>
      <c r="AB1120" s="161" t="s">
        <v>114</v>
      </c>
      <c r="AC1120" s="266" t="str">
        <f>HYPERLINK("https://gcsvt.ru/svetodiodnyie-svetilniki/svt-arh-direct-1500-62w-8/","Ссылка")</f>
        <v>Ссылка</v>
      </c>
      <c r="AD1120" s="167">
        <v>20851</v>
      </c>
    </row>
    <row r="1121" spans="1:30" s="161" customFormat="1" ht="39.950000000000003" hidden="1" customHeight="1" outlineLevel="2" x14ac:dyDescent="0.25">
      <c r="A1121" s="6"/>
      <c r="B1121" s="21" t="s">
        <v>3423</v>
      </c>
      <c r="C1121" s="160" t="s">
        <v>4066</v>
      </c>
      <c r="D1121" s="161">
        <v>9114</v>
      </c>
      <c r="E1121" s="161">
        <v>62</v>
      </c>
      <c r="F1121" s="161">
        <v>147</v>
      </c>
      <c r="G1121" s="161" t="s">
        <v>4183</v>
      </c>
      <c r="H1121" s="161" t="s">
        <v>1805</v>
      </c>
      <c r="I1121" s="161">
        <v>67</v>
      </c>
      <c r="J1121" s="161" t="s">
        <v>105</v>
      </c>
      <c r="K1121" s="21" t="s">
        <v>106</v>
      </c>
      <c r="L1121" s="161" t="s">
        <v>3380</v>
      </c>
      <c r="M1121" s="21" t="s">
        <v>2107</v>
      </c>
      <c r="N1121" s="161" t="s">
        <v>67</v>
      </c>
      <c r="O1121" s="21" t="s">
        <v>3424</v>
      </c>
      <c r="P1121" s="161" t="s">
        <v>109</v>
      </c>
      <c r="Q1121" s="21" t="s">
        <v>70</v>
      </c>
      <c r="R1121" s="161">
        <v>70</v>
      </c>
      <c r="S1121" s="161" t="s">
        <v>3377</v>
      </c>
      <c r="T1121" s="161" t="s">
        <v>174</v>
      </c>
      <c r="U1121" s="161" t="s">
        <v>73</v>
      </c>
      <c r="V1121" s="21" t="s">
        <v>74</v>
      </c>
      <c r="W1121" s="21" t="s">
        <v>75</v>
      </c>
      <c r="X1121" s="161" t="s">
        <v>4117</v>
      </c>
      <c r="Y1121" s="161" t="s">
        <v>4145</v>
      </c>
      <c r="Z1121" s="161">
        <v>3.95</v>
      </c>
      <c r="AA1121" s="161" t="s">
        <v>77</v>
      </c>
      <c r="AB1121" s="161" t="s">
        <v>114</v>
      </c>
      <c r="AC1121" s="266" t="str">
        <f>HYPERLINK("https://gcsvt.ru/svetodiodnyie-svetilniki/svt-arh-direct-1500-62w-15/","Ссылка")</f>
        <v>Ссылка</v>
      </c>
      <c r="AD1121" s="167">
        <v>20851</v>
      </c>
    </row>
    <row r="1122" spans="1:30" s="161" customFormat="1" ht="39.950000000000003" hidden="1" customHeight="1" outlineLevel="2" x14ac:dyDescent="0.25">
      <c r="A1122" s="6"/>
      <c r="B1122" s="21" t="s">
        <v>3423</v>
      </c>
      <c r="C1122" s="160" t="s">
        <v>4067</v>
      </c>
      <c r="D1122" s="161">
        <v>9114</v>
      </c>
      <c r="E1122" s="161">
        <v>62</v>
      </c>
      <c r="F1122" s="161">
        <v>147</v>
      </c>
      <c r="G1122" s="161" t="s">
        <v>4184</v>
      </c>
      <c r="H1122" s="161" t="s">
        <v>1756</v>
      </c>
      <c r="I1122" s="161">
        <v>67</v>
      </c>
      <c r="J1122" s="161" t="s">
        <v>105</v>
      </c>
      <c r="K1122" s="21" t="s">
        <v>106</v>
      </c>
      <c r="L1122" s="161" t="s">
        <v>3380</v>
      </c>
      <c r="M1122" s="21" t="s">
        <v>2107</v>
      </c>
      <c r="N1122" s="161" t="s">
        <v>67</v>
      </c>
      <c r="O1122" s="21" t="s">
        <v>3424</v>
      </c>
      <c r="P1122" s="161" t="s">
        <v>109</v>
      </c>
      <c r="Q1122" s="21" t="s">
        <v>70</v>
      </c>
      <c r="R1122" s="161">
        <v>70</v>
      </c>
      <c r="S1122" s="161" t="s">
        <v>3377</v>
      </c>
      <c r="T1122" s="161" t="s">
        <v>174</v>
      </c>
      <c r="U1122" s="161" t="s">
        <v>73</v>
      </c>
      <c r="V1122" s="21" t="s">
        <v>74</v>
      </c>
      <c r="W1122" s="21" t="s">
        <v>75</v>
      </c>
      <c r="X1122" s="161" t="s">
        <v>4117</v>
      </c>
      <c r="Y1122" s="161" t="s">
        <v>4145</v>
      </c>
      <c r="Z1122" s="161">
        <v>3.95</v>
      </c>
      <c r="AA1122" s="161" t="s">
        <v>77</v>
      </c>
      <c r="AB1122" s="161" t="s">
        <v>114</v>
      </c>
      <c r="AC1122" s="266" t="str">
        <f>HYPERLINK("https://gcsvt.ru/svetodiodnyie-svetilniki/svt-arh-direct-1500-62w-25/","Ссылка")</f>
        <v>Ссылка</v>
      </c>
      <c r="AD1122" s="167">
        <v>20851</v>
      </c>
    </row>
    <row r="1123" spans="1:30" s="161" customFormat="1" ht="39.950000000000003" hidden="1" customHeight="1" outlineLevel="2" x14ac:dyDescent="0.25">
      <c r="A1123" s="6"/>
      <c r="B1123" s="21" t="s">
        <v>3423</v>
      </c>
      <c r="C1123" s="160" t="s">
        <v>4068</v>
      </c>
      <c r="D1123" s="161">
        <v>9114</v>
      </c>
      <c r="E1123" s="161">
        <v>62</v>
      </c>
      <c r="F1123" s="161">
        <v>147</v>
      </c>
      <c r="G1123" s="161" t="s">
        <v>4185</v>
      </c>
      <c r="H1123" s="161" t="s">
        <v>1577</v>
      </c>
      <c r="I1123" s="161">
        <v>67</v>
      </c>
      <c r="J1123" s="161" t="s">
        <v>105</v>
      </c>
      <c r="K1123" s="21" t="s">
        <v>106</v>
      </c>
      <c r="L1123" s="161" t="s">
        <v>3380</v>
      </c>
      <c r="M1123" s="21" t="s">
        <v>2107</v>
      </c>
      <c r="N1123" s="161" t="s">
        <v>67</v>
      </c>
      <c r="O1123" s="21" t="s">
        <v>3424</v>
      </c>
      <c r="P1123" s="161" t="s">
        <v>109</v>
      </c>
      <c r="Q1123" s="21" t="s">
        <v>70</v>
      </c>
      <c r="R1123" s="161">
        <v>70</v>
      </c>
      <c r="S1123" s="161" t="s">
        <v>3377</v>
      </c>
      <c r="T1123" s="161" t="s">
        <v>174</v>
      </c>
      <c r="U1123" s="161" t="s">
        <v>73</v>
      </c>
      <c r="V1123" s="21" t="s">
        <v>74</v>
      </c>
      <c r="W1123" s="21" t="s">
        <v>75</v>
      </c>
      <c r="X1123" s="161" t="s">
        <v>4117</v>
      </c>
      <c r="Y1123" s="161" t="s">
        <v>4145</v>
      </c>
      <c r="Z1123" s="161">
        <v>3.95</v>
      </c>
      <c r="AA1123" s="161" t="s">
        <v>77</v>
      </c>
      <c r="AB1123" s="161" t="s">
        <v>114</v>
      </c>
      <c r="AC1123" s="266" t="str">
        <f>HYPERLINK("https://gcsvt.ru/svetodiodnyie-svetilniki/svt-arh-direct-1500-62w-45/","Ссылка")</f>
        <v>Ссылка</v>
      </c>
      <c r="AD1123" s="167">
        <v>20851</v>
      </c>
    </row>
    <row r="1124" spans="1:30" s="161" customFormat="1" ht="39.950000000000003" hidden="1" customHeight="1" outlineLevel="2" x14ac:dyDescent="0.25">
      <c r="A1124" s="6"/>
      <c r="B1124" s="21" t="s">
        <v>3423</v>
      </c>
      <c r="C1124" s="160" t="s">
        <v>4315</v>
      </c>
      <c r="D1124" s="161">
        <v>9114</v>
      </c>
      <c r="E1124" s="161">
        <v>62</v>
      </c>
      <c r="F1124" s="161">
        <v>147</v>
      </c>
      <c r="H1124" s="161" t="s">
        <v>4308</v>
      </c>
      <c r="I1124" s="161">
        <v>67</v>
      </c>
      <c r="J1124" s="161" t="s">
        <v>105</v>
      </c>
      <c r="K1124" s="21" t="s">
        <v>106</v>
      </c>
      <c r="L1124" s="161" t="s">
        <v>3380</v>
      </c>
      <c r="M1124" s="21" t="s">
        <v>2107</v>
      </c>
      <c r="N1124" s="161" t="s">
        <v>67</v>
      </c>
      <c r="O1124" s="21" t="s">
        <v>3424</v>
      </c>
      <c r="P1124" s="161" t="s">
        <v>109</v>
      </c>
      <c r="Q1124" s="21" t="s">
        <v>70</v>
      </c>
      <c r="R1124" s="161">
        <v>70</v>
      </c>
      <c r="S1124" s="161" t="s">
        <v>3377</v>
      </c>
      <c r="T1124" s="161" t="s">
        <v>174</v>
      </c>
      <c r="U1124" s="161" t="s">
        <v>73</v>
      </c>
      <c r="V1124" s="21" t="s">
        <v>74</v>
      </c>
      <c r="W1124" s="21" t="s">
        <v>75</v>
      </c>
      <c r="X1124" s="161" t="s">
        <v>4117</v>
      </c>
      <c r="Y1124" s="161" t="s">
        <v>4145</v>
      </c>
      <c r="Z1124" s="161">
        <v>3.95</v>
      </c>
      <c r="AA1124" s="161" t="s">
        <v>77</v>
      </c>
      <c r="AB1124" s="161" t="s">
        <v>114</v>
      </c>
      <c r="AC1124" s="266" t="str">
        <f>HYPERLINK("https://gcsvt.ru/svetodiodnyie-svetilniki/svt-arh-direct-1500-62w-10kh60/","Ссылка")</f>
        <v>Ссылка</v>
      </c>
      <c r="AD1124" s="167">
        <v>20851</v>
      </c>
    </row>
    <row r="1125" spans="1:30" s="161" customFormat="1" ht="39.950000000000003" hidden="1" customHeight="1" outlineLevel="1" collapsed="1" x14ac:dyDescent="0.25">
      <c r="A1125" s="101"/>
      <c r="B1125" s="217" t="s">
        <v>4069</v>
      </c>
      <c r="C1125" s="201"/>
      <c r="K1125" s="21"/>
      <c r="M1125" s="21"/>
      <c r="O1125" s="21"/>
      <c r="Q1125" s="21"/>
      <c r="V1125" s="21"/>
      <c r="W1125" s="21"/>
      <c r="AC1125" s="228"/>
      <c r="AD1125" s="167"/>
    </row>
    <row r="1126" spans="1:30" s="161" customFormat="1" ht="39.950000000000003" hidden="1" customHeight="1" outlineLevel="2" x14ac:dyDescent="0.25">
      <c r="A1126" s="6"/>
      <c r="B1126" s="21" t="s">
        <v>4069</v>
      </c>
      <c r="C1126" s="160" t="s">
        <v>4070</v>
      </c>
      <c r="D1126" s="161">
        <v>10010</v>
      </c>
      <c r="E1126" s="161">
        <v>77</v>
      </c>
      <c r="F1126" s="161">
        <v>130</v>
      </c>
      <c r="G1126" s="161" t="s">
        <v>4187</v>
      </c>
      <c r="H1126" s="161" t="s">
        <v>3123</v>
      </c>
      <c r="I1126" s="161">
        <v>67</v>
      </c>
      <c r="J1126" s="161" t="s">
        <v>105</v>
      </c>
      <c r="K1126" s="21" t="s">
        <v>106</v>
      </c>
      <c r="L1126" s="161" t="s">
        <v>3380</v>
      </c>
      <c r="M1126" s="21" t="s">
        <v>2107</v>
      </c>
      <c r="N1126" s="161" t="s">
        <v>67</v>
      </c>
      <c r="O1126" s="21" t="s">
        <v>3424</v>
      </c>
      <c r="P1126" s="161" t="s">
        <v>109</v>
      </c>
      <c r="Q1126" s="21" t="s">
        <v>70</v>
      </c>
      <c r="R1126" s="161">
        <v>70</v>
      </c>
      <c r="S1126" s="161" t="s">
        <v>3377</v>
      </c>
      <c r="T1126" s="161" t="s">
        <v>1139</v>
      </c>
      <c r="U1126" s="161" t="s">
        <v>73</v>
      </c>
      <c r="V1126" s="21" t="s">
        <v>74</v>
      </c>
      <c r="W1126" s="21" t="s">
        <v>75</v>
      </c>
      <c r="X1126" s="161" t="s">
        <v>4118</v>
      </c>
      <c r="Y1126" s="161" t="s">
        <v>4137</v>
      </c>
      <c r="Z1126" s="161">
        <v>4.7</v>
      </c>
      <c r="AA1126" s="161" t="s">
        <v>77</v>
      </c>
      <c r="AB1126" s="161" t="s">
        <v>114</v>
      </c>
      <c r="AC1126" s="266" t="str">
        <f>HYPERLINK("https://gcsvt.ru/svetodiodnyie-svetilniki/svt-arh-direct-300-26w-8-trio/","Ссылка")</f>
        <v>Ссылка</v>
      </c>
      <c r="AD1126" s="167">
        <v>22670</v>
      </c>
    </row>
    <row r="1127" spans="1:30" s="161" customFormat="1" ht="39.950000000000003" hidden="1" customHeight="1" outlineLevel="2" x14ac:dyDescent="0.25">
      <c r="A1127" s="6"/>
      <c r="B1127" s="21" t="s">
        <v>4069</v>
      </c>
      <c r="C1127" s="160" t="s">
        <v>4071</v>
      </c>
      <c r="D1127" s="161">
        <v>10010</v>
      </c>
      <c r="E1127" s="161">
        <v>77</v>
      </c>
      <c r="F1127" s="161">
        <v>130</v>
      </c>
      <c r="G1127" s="161" t="s">
        <v>4188</v>
      </c>
      <c r="H1127" s="161" t="s">
        <v>1805</v>
      </c>
      <c r="I1127" s="161">
        <v>67</v>
      </c>
      <c r="J1127" s="161" t="s">
        <v>105</v>
      </c>
      <c r="K1127" s="21" t="s">
        <v>106</v>
      </c>
      <c r="L1127" s="161" t="s">
        <v>3380</v>
      </c>
      <c r="M1127" s="21" t="s">
        <v>2107</v>
      </c>
      <c r="N1127" s="161" t="s">
        <v>67</v>
      </c>
      <c r="O1127" s="21" t="s">
        <v>3424</v>
      </c>
      <c r="P1127" s="161" t="s">
        <v>109</v>
      </c>
      <c r="Q1127" s="21" t="s">
        <v>70</v>
      </c>
      <c r="R1127" s="161">
        <v>70</v>
      </c>
      <c r="S1127" s="161" t="s">
        <v>3377</v>
      </c>
      <c r="T1127" s="161" t="s">
        <v>1139</v>
      </c>
      <c r="U1127" s="161" t="s">
        <v>73</v>
      </c>
      <c r="V1127" s="21" t="s">
        <v>74</v>
      </c>
      <c r="W1127" s="21" t="s">
        <v>75</v>
      </c>
      <c r="X1127" s="161" t="s">
        <v>4118</v>
      </c>
      <c r="Y1127" s="161" t="s">
        <v>4137</v>
      </c>
      <c r="Z1127" s="161">
        <v>4.7</v>
      </c>
      <c r="AA1127" s="161" t="s">
        <v>77</v>
      </c>
      <c r="AB1127" s="161" t="s">
        <v>114</v>
      </c>
      <c r="AC1127" s="266" t="str">
        <f>HYPERLINK("https://gcsvt.ru/svetodiodnyie-svetilniki/svt-arh-direct-300-26w-15-trio/","Ссылка")</f>
        <v>Ссылка</v>
      </c>
      <c r="AD1127" s="167">
        <v>22670</v>
      </c>
    </row>
    <row r="1128" spans="1:30" s="161" customFormat="1" ht="39.950000000000003" hidden="1" customHeight="1" outlineLevel="2" x14ac:dyDescent="0.25">
      <c r="A1128" s="6"/>
      <c r="B1128" s="21" t="s">
        <v>4069</v>
      </c>
      <c r="C1128" s="160" t="s">
        <v>4072</v>
      </c>
      <c r="D1128" s="161">
        <v>10010</v>
      </c>
      <c r="E1128" s="161">
        <v>77</v>
      </c>
      <c r="F1128" s="161">
        <v>130</v>
      </c>
      <c r="G1128" s="161" t="s">
        <v>4189</v>
      </c>
      <c r="H1128" s="161" t="s">
        <v>1756</v>
      </c>
      <c r="I1128" s="161">
        <v>67</v>
      </c>
      <c r="J1128" s="161" t="s">
        <v>105</v>
      </c>
      <c r="K1128" s="21" t="s">
        <v>106</v>
      </c>
      <c r="L1128" s="161" t="s">
        <v>3380</v>
      </c>
      <c r="M1128" s="21" t="s">
        <v>2107</v>
      </c>
      <c r="N1128" s="161" t="s">
        <v>67</v>
      </c>
      <c r="O1128" s="21" t="s">
        <v>3424</v>
      </c>
      <c r="P1128" s="161" t="s">
        <v>109</v>
      </c>
      <c r="Q1128" s="21" t="s">
        <v>70</v>
      </c>
      <c r="R1128" s="161">
        <v>70</v>
      </c>
      <c r="S1128" s="161" t="s">
        <v>3377</v>
      </c>
      <c r="T1128" s="161" t="s">
        <v>1139</v>
      </c>
      <c r="U1128" s="161" t="s">
        <v>73</v>
      </c>
      <c r="V1128" s="21" t="s">
        <v>74</v>
      </c>
      <c r="W1128" s="21" t="s">
        <v>75</v>
      </c>
      <c r="X1128" s="161" t="s">
        <v>4118</v>
      </c>
      <c r="Y1128" s="161" t="s">
        <v>4137</v>
      </c>
      <c r="Z1128" s="161">
        <v>4.7</v>
      </c>
      <c r="AA1128" s="161" t="s">
        <v>77</v>
      </c>
      <c r="AB1128" s="161" t="s">
        <v>114</v>
      </c>
      <c r="AC1128" s="266" t="str">
        <f>HYPERLINK("https://gcsvt.ru/svetodiodnyie-svetilniki/svt-arh-direct-300-26w-25-trio/","Ссылка")</f>
        <v>Ссылка</v>
      </c>
      <c r="AD1128" s="167">
        <v>22670</v>
      </c>
    </row>
    <row r="1129" spans="1:30" s="161" customFormat="1" ht="39.950000000000003" hidden="1" customHeight="1" outlineLevel="2" x14ac:dyDescent="0.25">
      <c r="A1129" s="6"/>
      <c r="B1129" s="21" t="s">
        <v>4069</v>
      </c>
      <c r="C1129" s="160" t="s">
        <v>4073</v>
      </c>
      <c r="D1129" s="161">
        <v>10010</v>
      </c>
      <c r="E1129" s="161">
        <v>77</v>
      </c>
      <c r="F1129" s="161">
        <v>130</v>
      </c>
      <c r="G1129" s="161" t="s">
        <v>4190</v>
      </c>
      <c r="H1129" s="161" t="s">
        <v>1577</v>
      </c>
      <c r="I1129" s="161">
        <v>67</v>
      </c>
      <c r="J1129" s="161" t="s">
        <v>105</v>
      </c>
      <c r="K1129" s="21" t="s">
        <v>106</v>
      </c>
      <c r="L1129" s="161" t="s">
        <v>3380</v>
      </c>
      <c r="M1129" s="21" t="s">
        <v>2107</v>
      </c>
      <c r="N1129" s="161" t="s">
        <v>67</v>
      </c>
      <c r="O1129" s="21" t="s">
        <v>3424</v>
      </c>
      <c r="P1129" s="161" t="s">
        <v>109</v>
      </c>
      <c r="Q1129" s="21" t="s">
        <v>70</v>
      </c>
      <c r="R1129" s="161">
        <v>70</v>
      </c>
      <c r="S1129" s="161" t="s">
        <v>3377</v>
      </c>
      <c r="T1129" s="161" t="s">
        <v>1139</v>
      </c>
      <c r="U1129" s="161" t="s">
        <v>73</v>
      </c>
      <c r="V1129" s="21" t="s">
        <v>74</v>
      </c>
      <c r="W1129" s="21" t="s">
        <v>75</v>
      </c>
      <c r="X1129" s="161" t="s">
        <v>4118</v>
      </c>
      <c r="Y1129" s="161" t="s">
        <v>4137</v>
      </c>
      <c r="Z1129" s="161">
        <v>4.7</v>
      </c>
      <c r="AA1129" s="161" t="s">
        <v>77</v>
      </c>
      <c r="AB1129" s="161" t="s">
        <v>114</v>
      </c>
      <c r="AC1129" s="266" t="str">
        <f>HYPERLINK("https://gcsvt.ru/svetodiodnyie-svetilniki/svt-arh-direct-300-26w-45-trio/","Ссылка")</f>
        <v>Ссылка</v>
      </c>
      <c r="AD1129" s="167">
        <v>22670</v>
      </c>
    </row>
    <row r="1130" spans="1:30" s="161" customFormat="1" ht="39.950000000000003" hidden="1" customHeight="1" outlineLevel="2" x14ac:dyDescent="0.25">
      <c r="A1130" s="6"/>
      <c r="B1130" s="21" t="s">
        <v>4069</v>
      </c>
      <c r="C1130" s="160" t="s">
        <v>4074</v>
      </c>
      <c r="D1130" s="161">
        <v>13390</v>
      </c>
      <c r="E1130" s="161">
        <v>103</v>
      </c>
      <c r="F1130" s="161">
        <v>130</v>
      </c>
      <c r="G1130" s="161" t="s">
        <v>4191</v>
      </c>
      <c r="H1130" s="161" t="s">
        <v>3123</v>
      </c>
      <c r="I1130" s="161">
        <v>67</v>
      </c>
      <c r="J1130" s="161" t="s">
        <v>105</v>
      </c>
      <c r="K1130" s="21" t="s">
        <v>106</v>
      </c>
      <c r="L1130" s="161" t="s">
        <v>3380</v>
      </c>
      <c r="M1130" s="21" t="s">
        <v>2107</v>
      </c>
      <c r="N1130" s="161" t="s">
        <v>67</v>
      </c>
      <c r="O1130" s="21" t="s">
        <v>3424</v>
      </c>
      <c r="P1130" s="161" t="s">
        <v>109</v>
      </c>
      <c r="Q1130" s="21" t="s">
        <v>70</v>
      </c>
      <c r="R1130" s="161">
        <v>70</v>
      </c>
      <c r="S1130" s="161" t="s">
        <v>3377</v>
      </c>
      <c r="T1130" s="161" t="s">
        <v>1139</v>
      </c>
      <c r="U1130" s="161" t="s">
        <v>73</v>
      </c>
      <c r="V1130" s="21" t="s">
        <v>74</v>
      </c>
      <c r="W1130" s="21" t="s">
        <v>75</v>
      </c>
      <c r="X1130" s="161" t="s">
        <v>4123</v>
      </c>
      <c r="Y1130" s="161" t="s">
        <v>4128</v>
      </c>
      <c r="Z1130" s="161">
        <v>6</v>
      </c>
      <c r="AA1130" s="161" t="s">
        <v>77</v>
      </c>
      <c r="AB1130" s="161" t="s">
        <v>114</v>
      </c>
      <c r="AC1130" s="266" t="str">
        <f>HYPERLINK("https://gcsvt.ru/svetodiodnyie-svetilniki/svt-arh-direct-300-26w-8-quattro/","Ссылка")</f>
        <v>Ссылка</v>
      </c>
      <c r="AD1130" s="167">
        <v>26537</v>
      </c>
    </row>
    <row r="1131" spans="1:30" s="161" customFormat="1" ht="39.950000000000003" hidden="1" customHeight="1" outlineLevel="2" x14ac:dyDescent="0.25">
      <c r="A1131" s="6"/>
      <c r="B1131" s="21" t="s">
        <v>4069</v>
      </c>
      <c r="C1131" s="160" t="s">
        <v>4075</v>
      </c>
      <c r="D1131" s="161">
        <v>13390</v>
      </c>
      <c r="E1131" s="161">
        <v>103</v>
      </c>
      <c r="F1131" s="161">
        <v>130</v>
      </c>
      <c r="G1131" s="161" t="s">
        <v>4192</v>
      </c>
      <c r="H1131" s="161" t="s">
        <v>1805</v>
      </c>
      <c r="I1131" s="161">
        <v>67</v>
      </c>
      <c r="J1131" s="161" t="s">
        <v>105</v>
      </c>
      <c r="K1131" s="21" t="s">
        <v>106</v>
      </c>
      <c r="L1131" s="161" t="s">
        <v>3380</v>
      </c>
      <c r="M1131" s="21" t="s">
        <v>2107</v>
      </c>
      <c r="N1131" s="161" t="s">
        <v>67</v>
      </c>
      <c r="O1131" s="21" t="s">
        <v>3424</v>
      </c>
      <c r="P1131" s="161" t="s">
        <v>109</v>
      </c>
      <c r="Q1131" s="21" t="s">
        <v>70</v>
      </c>
      <c r="R1131" s="161">
        <v>70</v>
      </c>
      <c r="S1131" s="161" t="s">
        <v>3377</v>
      </c>
      <c r="T1131" s="161" t="s">
        <v>1139</v>
      </c>
      <c r="U1131" s="161" t="s">
        <v>73</v>
      </c>
      <c r="V1131" s="21" t="s">
        <v>74</v>
      </c>
      <c r="W1131" s="21" t="s">
        <v>75</v>
      </c>
      <c r="X1131" s="161" t="s">
        <v>4123</v>
      </c>
      <c r="Y1131" s="161" t="s">
        <v>4128</v>
      </c>
      <c r="Z1131" s="161">
        <v>6</v>
      </c>
      <c r="AA1131" s="161" t="s">
        <v>77</v>
      </c>
      <c r="AB1131" s="161" t="s">
        <v>114</v>
      </c>
      <c r="AC1131" s="266" t="str">
        <f>HYPERLINK("https://gcsvt.ru/svetodiodnyie-svetilniki/svt-arh-direct-300-26w-15-quattro/","Ссылка")</f>
        <v>Ссылка</v>
      </c>
      <c r="AD1131" s="167">
        <v>26537</v>
      </c>
    </row>
    <row r="1132" spans="1:30" s="161" customFormat="1" ht="39.950000000000003" hidden="1" customHeight="1" outlineLevel="2" x14ac:dyDescent="0.25">
      <c r="A1132" s="6"/>
      <c r="B1132" s="21" t="s">
        <v>4069</v>
      </c>
      <c r="C1132" s="160" t="s">
        <v>4076</v>
      </c>
      <c r="D1132" s="161">
        <v>13390</v>
      </c>
      <c r="E1132" s="161">
        <v>103</v>
      </c>
      <c r="F1132" s="161">
        <v>130</v>
      </c>
      <c r="G1132" s="161" t="s">
        <v>4193</v>
      </c>
      <c r="H1132" s="161" t="s">
        <v>1756</v>
      </c>
      <c r="I1132" s="161">
        <v>67</v>
      </c>
      <c r="J1132" s="161" t="s">
        <v>105</v>
      </c>
      <c r="K1132" s="21" t="s">
        <v>106</v>
      </c>
      <c r="L1132" s="161" t="s">
        <v>3380</v>
      </c>
      <c r="M1132" s="21" t="s">
        <v>2107</v>
      </c>
      <c r="N1132" s="161" t="s">
        <v>67</v>
      </c>
      <c r="O1132" s="21" t="s">
        <v>3424</v>
      </c>
      <c r="P1132" s="161" t="s">
        <v>109</v>
      </c>
      <c r="Q1132" s="21" t="s">
        <v>70</v>
      </c>
      <c r="R1132" s="161">
        <v>70</v>
      </c>
      <c r="S1132" s="161" t="s">
        <v>3377</v>
      </c>
      <c r="T1132" s="161" t="s">
        <v>1139</v>
      </c>
      <c r="U1132" s="161" t="s">
        <v>73</v>
      </c>
      <c r="V1132" s="21" t="s">
        <v>74</v>
      </c>
      <c r="W1132" s="21" t="s">
        <v>75</v>
      </c>
      <c r="X1132" s="161" t="s">
        <v>4123</v>
      </c>
      <c r="Y1132" s="161" t="s">
        <v>4128</v>
      </c>
      <c r="Z1132" s="161">
        <v>6</v>
      </c>
      <c r="AA1132" s="161" t="s">
        <v>77</v>
      </c>
      <c r="AB1132" s="161" t="s">
        <v>114</v>
      </c>
      <c r="AC1132" s="266" t="str">
        <f>HYPERLINK("https://gcsvt.ru/svetodiodnyie-svetilniki/svt-arh-direct-300-26w-25-quattro/","Ссылка")</f>
        <v>Ссылка</v>
      </c>
      <c r="AD1132" s="167">
        <v>26537</v>
      </c>
    </row>
    <row r="1133" spans="1:30" s="161" customFormat="1" ht="39.950000000000003" hidden="1" customHeight="1" outlineLevel="2" x14ac:dyDescent="0.25">
      <c r="A1133" s="6"/>
      <c r="B1133" s="21" t="s">
        <v>4069</v>
      </c>
      <c r="C1133" s="160" t="s">
        <v>4077</v>
      </c>
      <c r="D1133" s="161">
        <v>13390</v>
      </c>
      <c r="E1133" s="161">
        <v>103</v>
      </c>
      <c r="F1133" s="161">
        <v>130</v>
      </c>
      <c r="G1133" s="161" t="s">
        <v>4194</v>
      </c>
      <c r="H1133" s="161" t="s">
        <v>1577</v>
      </c>
      <c r="I1133" s="161">
        <v>67</v>
      </c>
      <c r="J1133" s="161" t="s">
        <v>105</v>
      </c>
      <c r="K1133" s="21" t="s">
        <v>106</v>
      </c>
      <c r="L1133" s="161" t="s">
        <v>3380</v>
      </c>
      <c r="M1133" s="21" t="s">
        <v>2107</v>
      </c>
      <c r="N1133" s="161" t="s">
        <v>67</v>
      </c>
      <c r="O1133" s="21" t="s">
        <v>3424</v>
      </c>
      <c r="P1133" s="161" t="s">
        <v>109</v>
      </c>
      <c r="Q1133" s="21" t="s">
        <v>70</v>
      </c>
      <c r="R1133" s="161">
        <v>70</v>
      </c>
      <c r="S1133" s="161" t="s">
        <v>3377</v>
      </c>
      <c r="T1133" s="161" t="s">
        <v>1139</v>
      </c>
      <c r="U1133" s="161" t="s">
        <v>73</v>
      </c>
      <c r="V1133" s="21" t="s">
        <v>74</v>
      </c>
      <c r="W1133" s="21" t="s">
        <v>75</v>
      </c>
      <c r="X1133" s="161" t="s">
        <v>4123</v>
      </c>
      <c r="Y1133" s="161" t="s">
        <v>4128</v>
      </c>
      <c r="Z1133" s="161">
        <v>6</v>
      </c>
      <c r="AA1133" s="161" t="s">
        <v>77</v>
      </c>
      <c r="AB1133" s="161" t="s">
        <v>114</v>
      </c>
      <c r="AC1133" s="266" t="str">
        <f>HYPERLINK("https://gcsvt.ru/svetodiodnyie-svetilniki/svt-arh-direct-300-26w-45-quattro/","Ссылка")</f>
        <v>Ссылка</v>
      </c>
      <c r="AD1133" s="167">
        <v>26537</v>
      </c>
    </row>
    <row r="1134" spans="1:30" s="161" customFormat="1" ht="39.950000000000003" hidden="1" customHeight="1" outlineLevel="2" x14ac:dyDescent="0.25">
      <c r="A1134" s="6"/>
      <c r="B1134" s="21" t="s">
        <v>4069</v>
      </c>
      <c r="C1134" s="160" t="s">
        <v>4078</v>
      </c>
      <c r="D1134" s="161">
        <v>15080</v>
      </c>
      <c r="E1134" s="161">
        <v>116</v>
      </c>
      <c r="F1134" s="161">
        <v>130</v>
      </c>
      <c r="G1134" s="161" t="s">
        <v>4195</v>
      </c>
      <c r="H1134" s="161" t="s">
        <v>3123</v>
      </c>
      <c r="I1134" s="161">
        <v>67</v>
      </c>
      <c r="J1134" s="161" t="s">
        <v>105</v>
      </c>
      <c r="K1134" s="21" t="s">
        <v>106</v>
      </c>
      <c r="L1134" s="161" t="s">
        <v>3380</v>
      </c>
      <c r="M1134" s="21" t="s">
        <v>2107</v>
      </c>
      <c r="N1134" s="161" t="s">
        <v>67</v>
      </c>
      <c r="O1134" s="21" t="s">
        <v>3424</v>
      </c>
      <c r="P1134" s="161" t="s">
        <v>109</v>
      </c>
      <c r="Q1134" s="21" t="s">
        <v>70</v>
      </c>
      <c r="R1134" s="161">
        <v>70</v>
      </c>
      <c r="S1134" s="161" t="s">
        <v>3377</v>
      </c>
      <c r="T1134" s="161" t="s">
        <v>1139</v>
      </c>
      <c r="U1134" s="161" t="s">
        <v>73</v>
      </c>
      <c r="V1134" s="21" t="s">
        <v>74</v>
      </c>
      <c r="W1134" s="21" t="s">
        <v>75</v>
      </c>
      <c r="X1134" s="161" t="s">
        <v>4119</v>
      </c>
      <c r="Y1134" s="161" t="s">
        <v>4136</v>
      </c>
      <c r="Z1134" s="161">
        <v>5.7</v>
      </c>
      <c r="AA1134" s="161" t="s">
        <v>77</v>
      </c>
      <c r="AB1134" s="161" t="s">
        <v>114</v>
      </c>
      <c r="AC1134" s="266" t="str">
        <f>HYPERLINK("https://gcsvt.ru/svetodiodnyie-svetilniki/svt-arh-direct-450-39w-8-trio/","Ссылка")</f>
        <v>Ссылка</v>
      </c>
      <c r="AD1134" s="167">
        <v>27787</v>
      </c>
    </row>
    <row r="1135" spans="1:30" s="161" customFormat="1" ht="39.950000000000003" hidden="1" customHeight="1" outlineLevel="2" x14ac:dyDescent="0.25">
      <c r="A1135" s="6"/>
      <c r="B1135" s="21" t="s">
        <v>4069</v>
      </c>
      <c r="C1135" s="160" t="s">
        <v>4079</v>
      </c>
      <c r="D1135" s="161">
        <v>15080</v>
      </c>
      <c r="E1135" s="161">
        <v>116</v>
      </c>
      <c r="F1135" s="161">
        <v>130</v>
      </c>
      <c r="G1135" s="161" t="s">
        <v>4196</v>
      </c>
      <c r="H1135" s="161" t="s">
        <v>1805</v>
      </c>
      <c r="I1135" s="161">
        <v>67</v>
      </c>
      <c r="J1135" s="161" t="s">
        <v>105</v>
      </c>
      <c r="K1135" s="21" t="s">
        <v>106</v>
      </c>
      <c r="L1135" s="161" t="s">
        <v>3380</v>
      </c>
      <c r="M1135" s="21" t="s">
        <v>2107</v>
      </c>
      <c r="N1135" s="161" t="s">
        <v>67</v>
      </c>
      <c r="O1135" s="21" t="s">
        <v>3424</v>
      </c>
      <c r="P1135" s="161" t="s">
        <v>109</v>
      </c>
      <c r="Q1135" s="21" t="s">
        <v>70</v>
      </c>
      <c r="R1135" s="161">
        <v>70</v>
      </c>
      <c r="S1135" s="161" t="s">
        <v>3377</v>
      </c>
      <c r="T1135" s="161" t="s">
        <v>1139</v>
      </c>
      <c r="U1135" s="161" t="s">
        <v>73</v>
      </c>
      <c r="V1135" s="21" t="s">
        <v>74</v>
      </c>
      <c r="W1135" s="21" t="s">
        <v>75</v>
      </c>
      <c r="X1135" s="161" t="s">
        <v>4119</v>
      </c>
      <c r="Y1135" s="161" t="s">
        <v>4136</v>
      </c>
      <c r="Z1135" s="161">
        <v>5.7</v>
      </c>
      <c r="AA1135" s="161" t="s">
        <v>77</v>
      </c>
      <c r="AB1135" s="161" t="s">
        <v>114</v>
      </c>
      <c r="AC1135" s="266" t="str">
        <f>HYPERLINK("https://gcsvt.ru/svetodiodnyie-svetilniki/svt-arh-direct-450-39w-15-trio/","Ссылка")</f>
        <v>Ссылка</v>
      </c>
      <c r="AD1135" s="167">
        <v>27787</v>
      </c>
    </row>
    <row r="1136" spans="1:30" s="161" customFormat="1" ht="39.950000000000003" hidden="1" customHeight="1" outlineLevel="2" x14ac:dyDescent="0.25">
      <c r="A1136" s="6"/>
      <c r="B1136" s="21" t="s">
        <v>4069</v>
      </c>
      <c r="C1136" s="160" t="s">
        <v>4080</v>
      </c>
      <c r="D1136" s="161">
        <v>15080</v>
      </c>
      <c r="E1136" s="161">
        <v>116</v>
      </c>
      <c r="F1136" s="161">
        <v>130</v>
      </c>
      <c r="G1136" s="161" t="s">
        <v>4197</v>
      </c>
      <c r="H1136" s="161" t="s">
        <v>1756</v>
      </c>
      <c r="I1136" s="161">
        <v>67</v>
      </c>
      <c r="J1136" s="161" t="s">
        <v>105</v>
      </c>
      <c r="K1136" s="21" t="s">
        <v>106</v>
      </c>
      <c r="L1136" s="161" t="s">
        <v>3380</v>
      </c>
      <c r="M1136" s="21" t="s">
        <v>2107</v>
      </c>
      <c r="N1136" s="161" t="s">
        <v>67</v>
      </c>
      <c r="O1136" s="21" t="s">
        <v>3424</v>
      </c>
      <c r="P1136" s="161" t="s">
        <v>109</v>
      </c>
      <c r="Q1136" s="21" t="s">
        <v>70</v>
      </c>
      <c r="R1136" s="161">
        <v>70</v>
      </c>
      <c r="S1136" s="161" t="s">
        <v>3377</v>
      </c>
      <c r="T1136" s="161" t="s">
        <v>1139</v>
      </c>
      <c r="U1136" s="161" t="s">
        <v>73</v>
      </c>
      <c r="V1136" s="21" t="s">
        <v>74</v>
      </c>
      <c r="W1136" s="21" t="s">
        <v>75</v>
      </c>
      <c r="X1136" s="161" t="s">
        <v>4119</v>
      </c>
      <c r="Y1136" s="161" t="s">
        <v>4136</v>
      </c>
      <c r="Z1136" s="161">
        <v>5.7</v>
      </c>
      <c r="AA1136" s="161" t="s">
        <v>77</v>
      </c>
      <c r="AB1136" s="161" t="s">
        <v>114</v>
      </c>
      <c r="AC1136" s="266" t="str">
        <f>HYPERLINK("https://gcsvt.ru/svetodiodnyie-svetilniki/svt-arh-direct-450-39w-25-trio/","Ссылка")</f>
        <v>Ссылка</v>
      </c>
      <c r="AD1136" s="167">
        <v>27787</v>
      </c>
    </row>
    <row r="1137" spans="1:30" s="161" customFormat="1" ht="39.950000000000003" hidden="1" customHeight="1" outlineLevel="2" x14ac:dyDescent="0.25">
      <c r="A1137" s="6"/>
      <c r="B1137" s="21" t="s">
        <v>4069</v>
      </c>
      <c r="C1137" s="160" t="s">
        <v>4081</v>
      </c>
      <c r="D1137" s="161">
        <v>15080</v>
      </c>
      <c r="E1137" s="161">
        <v>116</v>
      </c>
      <c r="F1137" s="161">
        <v>130</v>
      </c>
      <c r="G1137" s="161" t="s">
        <v>4198</v>
      </c>
      <c r="H1137" s="161" t="s">
        <v>1577</v>
      </c>
      <c r="I1137" s="161">
        <v>67</v>
      </c>
      <c r="J1137" s="161" t="s">
        <v>105</v>
      </c>
      <c r="K1137" s="21" t="s">
        <v>106</v>
      </c>
      <c r="L1137" s="161" t="s">
        <v>3380</v>
      </c>
      <c r="M1137" s="21" t="s">
        <v>2107</v>
      </c>
      <c r="N1137" s="161" t="s">
        <v>67</v>
      </c>
      <c r="O1137" s="21" t="s">
        <v>3424</v>
      </c>
      <c r="P1137" s="161" t="s">
        <v>109</v>
      </c>
      <c r="Q1137" s="21" t="s">
        <v>70</v>
      </c>
      <c r="R1137" s="161">
        <v>70</v>
      </c>
      <c r="S1137" s="161" t="s">
        <v>3377</v>
      </c>
      <c r="T1137" s="161" t="s">
        <v>1139</v>
      </c>
      <c r="U1137" s="161" t="s">
        <v>73</v>
      </c>
      <c r="V1137" s="21" t="s">
        <v>74</v>
      </c>
      <c r="W1137" s="21" t="s">
        <v>75</v>
      </c>
      <c r="X1137" s="161" t="s">
        <v>4119</v>
      </c>
      <c r="Y1137" s="161" t="s">
        <v>4136</v>
      </c>
      <c r="Z1137" s="161">
        <v>5.7</v>
      </c>
      <c r="AA1137" s="161" t="s">
        <v>77</v>
      </c>
      <c r="AB1137" s="161" t="s">
        <v>114</v>
      </c>
      <c r="AC1137" s="266" t="str">
        <f>HYPERLINK("https://gcsvt.ru/svetodiodnyie-svetilniki/svt-arh-direct-450-39w-45-trio/","Ссылка")</f>
        <v>Ссылка</v>
      </c>
      <c r="AD1137" s="167">
        <v>27787</v>
      </c>
    </row>
    <row r="1138" spans="1:30" s="161" customFormat="1" ht="39.950000000000003" hidden="1" customHeight="1" outlineLevel="2" x14ac:dyDescent="0.25">
      <c r="A1138" s="6"/>
      <c r="B1138" s="21" t="s">
        <v>4069</v>
      </c>
      <c r="C1138" s="160" t="s">
        <v>4082</v>
      </c>
      <c r="D1138" s="161">
        <v>20150</v>
      </c>
      <c r="E1138" s="161">
        <v>155</v>
      </c>
      <c r="F1138" s="161">
        <v>130</v>
      </c>
      <c r="G1138" s="161" t="s">
        <v>4199</v>
      </c>
      <c r="H1138" s="161" t="s">
        <v>3123</v>
      </c>
      <c r="I1138" s="161">
        <v>67</v>
      </c>
      <c r="J1138" s="161" t="s">
        <v>105</v>
      </c>
      <c r="K1138" s="21" t="s">
        <v>106</v>
      </c>
      <c r="L1138" s="161" t="s">
        <v>3380</v>
      </c>
      <c r="M1138" s="21" t="s">
        <v>2107</v>
      </c>
      <c r="N1138" s="161" t="s">
        <v>67</v>
      </c>
      <c r="O1138" s="21" t="s">
        <v>3424</v>
      </c>
      <c r="P1138" s="161" t="s">
        <v>109</v>
      </c>
      <c r="Q1138" s="21" t="s">
        <v>70</v>
      </c>
      <c r="R1138" s="161">
        <v>70</v>
      </c>
      <c r="S1138" s="161" t="s">
        <v>3377</v>
      </c>
      <c r="T1138" s="161" t="s">
        <v>1139</v>
      </c>
      <c r="U1138" s="161" t="s">
        <v>73</v>
      </c>
      <c r="V1138" s="21" t="s">
        <v>74</v>
      </c>
      <c r="W1138" s="21" t="s">
        <v>75</v>
      </c>
      <c r="X1138" s="161" t="s">
        <v>4124</v>
      </c>
      <c r="Y1138" s="161" t="s">
        <v>4129</v>
      </c>
      <c r="Z1138" s="161">
        <v>7.1</v>
      </c>
      <c r="AA1138" s="161" t="s">
        <v>77</v>
      </c>
      <c r="AB1138" s="161" t="s">
        <v>114</v>
      </c>
      <c r="AC1138" s="266" t="str">
        <f>HYPERLINK("https://gcsvt.ru/svetodiodnyie-svetilniki/svt-arh-direct-450-39w-8-quattro/","Ссылка")</f>
        <v>Ссылка</v>
      </c>
      <c r="AD1138" s="167">
        <v>35394</v>
      </c>
    </row>
    <row r="1139" spans="1:30" s="161" customFormat="1" ht="39.950000000000003" hidden="1" customHeight="1" outlineLevel="2" x14ac:dyDescent="0.25">
      <c r="A1139" s="6"/>
      <c r="B1139" s="21" t="s">
        <v>4069</v>
      </c>
      <c r="C1139" s="160" t="s">
        <v>4083</v>
      </c>
      <c r="D1139" s="161">
        <v>20150</v>
      </c>
      <c r="E1139" s="161">
        <v>155</v>
      </c>
      <c r="F1139" s="161">
        <v>130</v>
      </c>
      <c r="G1139" s="161" t="s">
        <v>4200</v>
      </c>
      <c r="H1139" s="161" t="s">
        <v>1805</v>
      </c>
      <c r="I1139" s="161">
        <v>67</v>
      </c>
      <c r="J1139" s="161" t="s">
        <v>105</v>
      </c>
      <c r="K1139" s="21" t="s">
        <v>106</v>
      </c>
      <c r="L1139" s="161" t="s">
        <v>3380</v>
      </c>
      <c r="M1139" s="21" t="s">
        <v>2107</v>
      </c>
      <c r="N1139" s="161" t="s">
        <v>67</v>
      </c>
      <c r="O1139" s="21" t="s">
        <v>3424</v>
      </c>
      <c r="P1139" s="161" t="s">
        <v>109</v>
      </c>
      <c r="Q1139" s="21" t="s">
        <v>70</v>
      </c>
      <c r="R1139" s="161">
        <v>70</v>
      </c>
      <c r="S1139" s="161" t="s">
        <v>3377</v>
      </c>
      <c r="T1139" s="161" t="s">
        <v>1139</v>
      </c>
      <c r="U1139" s="161" t="s">
        <v>73</v>
      </c>
      <c r="V1139" s="21" t="s">
        <v>74</v>
      </c>
      <c r="W1139" s="21" t="s">
        <v>75</v>
      </c>
      <c r="X1139" s="161" t="s">
        <v>4124</v>
      </c>
      <c r="Y1139" s="161" t="s">
        <v>4129</v>
      </c>
      <c r="Z1139" s="161">
        <v>7.1</v>
      </c>
      <c r="AA1139" s="161" t="s">
        <v>77</v>
      </c>
      <c r="AB1139" s="161" t="s">
        <v>114</v>
      </c>
      <c r="AC1139" s="266" t="str">
        <f>HYPERLINK("https://gcsvt.ru/svetodiodnyie-svetilniki/svt-arh-direct-450-39w-15-quattro/","Ссылка")</f>
        <v>Ссылка</v>
      </c>
      <c r="AD1139" s="167">
        <v>35394</v>
      </c>
    </row>
    <row r="1140" spans="1:30" s="161" customFormat="1" ht="39.950000000000003" hidden="1" customHeight="1" outlineLevel="2" x14ac:dyDescent="0.25">
      <c r="A1140" s="6"/>
      <c r="B1140" s="21" t="s">
        <v>4069</v>
      </c>
      <c r="C1140" s="160" t="s">
        <v>4084</v>
      </c>
      <c r="D1140" s="161">
        <v>20150</v>
      </c>
      <c r="E1140" s="161">
        <v>155</v>
      </c>
      <c r="F1140" s="161">
        <v>130</v>
      </c>
      <c r="G1140" s="161" t="s">
        <v>4201</v>
      </c>
      <c r="H1140" s="161" t="s">
        <v>1756</v>
      </c>
      <c r="I1140" s="161">
        <v>67</v>
      </c>
      <c r="J1140" s="161" t="s">
        <v>105</v>
      </c>
      <c r="K1140" s="21" t="s">
        <v>106</v>
      </c>
      <c r="L1140" s="161" t="s">
        <v>3380</v>
      </c>
      <c r="M1140" s="21" t="s">
        <v>2107</v>
      </c>
      <c r="N1140" s="161" t="s">
        <v>67</v>
      </c>
      <c r="O1140" s="21" t="s">
        <v>3424</v>
      </c>
      <c r="P1140" s="161" t="s">
        <v>109</v>
      </c>
      <c r="Q1140" s="21" t="s">
        <v>70</v>
      </c>
      <c r="R1140" s="161">
        <v>70</v>
      </c>
      <c r="S1140" s="161" t="s">
        <v>3377</v>
      </c>
      <c r="T1140" s="161" t="s">
        <v>1139</v>
      </c>
      <c r="U1140" s="161" t="s">
        <v>73</v>
      </c>
      <c r="V1140" s="21" t="s">
        <v>74</v>
      </c>
      <c r="W1140" s="21" t="s">
        <v>75</v>
      </c>
      <c r="X1140" s="161" t="s">
        <v>4124</v>
      </c>
      <c r="Y1140" s="161" t="s">
        <v>4129</v>
      </c>
      <c r="Z1140" s="161">
        <v>7.1</v>
      </c>
      <c r="AA1140" s="161" t="s">
        <v>77</v>
      </c>
      <c r="AB1140" s="161" t="s">
        <v>114</v>
      </c>
      <c r="AC1140" s="266" t="str">
        <f>HYPERLINK("https://gcsvt.ru/svetodiodnyie-svetilniki/svt-arh-direct-450-39w-25-quattro/","Ссылка")</f>
        <v>Ссылка</v>
      </c>
      <c r="AD1140" s="167">
        <v>35394</v>
      </c>
    </row>
    <row r="1141" spans="1:30" s="161" customFormat="1" ht="39.950000000000003" hidden="1" customHeight="1" outlineLevel="2" x14ac:dyDescent="0.25">
      <c r="A1141" s="6"/>
      <c r="B1141" s="21" t="s">
        <v>4069</v>
      </c>
      <c r="C1141" s="160" t="s">
        <v>4085</v>
      </c>
      <c r="D1141" s="161">
        <v>20150</v>
      </c>
      <c r="E1141" s="161">
        <v>155</v>
      </c>
      <c r="F1141" s="161">
        <v>130</v>
      </c>
      <c r="G1141" s="161" t="s">
        <v>4202</v>
      </c>
      <c r="H1141" s="161" t="s">
        <v>1577</v>
      </c>
      <c r="I1141" s="161">
        <v>67</v>
      </c>
      <c r="J1141" s="161" t="s">
        <v>105</v>
      </c>
      <c r="K1141" s="21" t="s">
        <v>106</v>
      </c>
      <c r="L1141" s="161" t="s">
        <v>3380</v>
      </c>
      <c r="M1141" s="21" t="s">
        <v>2107</v>
      </c>
      <c r="N1141" s="161" t="s">
        <v>67</v>
      </c>
      <c r="O1141" s="21" t="s">
        <v>3424</v>
      </c>
      <c r="P1141" s="161" t="s">
        <v>109</v>
      </c>
      <c r="Q1141" s="21" t="s">
        <v>70</v>
      </c>
      <c r="R1141" s="161">
        <v>70</v>
      </c>
      <c r="S1141" s="161" t="s">
        <v>3377</v>
      </c>
      <c r="T1141" s="161" t="s">
        <v>1139</v>
      </c>
      <c r="U1141" s="161" t="s">
        <v>73</v>
      </c>
      <c r="V1141" s="21" t="s">
        <v>74</v>
      </c>
      <c r="W1141" s="21" t="s">
        <v>75</v>
      </c>
      <c r="X1141" s="161" t="s">
        <v>4124</v>
      </c>
      <c r="Y1141" s="161" t="s">
        <v>4129</v>
      </c>
      <c r="Z1141" s="161">
        <v>7.1</v>
      </c>
      <c r="AA1141" s="161" t="s">
        <v>77</v>
      </c>
      <c r="AB1141" s="161" t="s">
        <v>114</v>
      </c>
      <c r="AC1141" s="266" t="str">
        <f>HYPERLINK("https://gcsvt.ru/svetodiodnyie-svetilniki/svt-arh-direct-450-39w-45-quattro/","Ссылка")</f>
        <v>Ссылка</v>
      </c>
      <c r="AD1141" s="167">
        <v>35394</v>
      </c>
    </row>
    <row r="1142" spans="1:30" s="161" customFormat="1" ht="39.950000000000003" hidden="1" customHeight="1" outlineLevel="2" x14ac:dyDescent="0.25">
      <c r="A1142" s="6"/>
      <c r="B1142" s="21" t="s">
        <v>4069</v>
      </c>
      <c r="C1142" s="160" t="s">
        <v>4086</v>
      </c>
      <c r="D1142" s="161">
        <v>20150</v>
      </c>
      <c r="E1142" s="161">
        <v>155</v>
      </c>
      <c r="F1142" s="161">
        <v>130</v>
      </c>
      <c r="G1142" s="161" t="s">
        <v>4203</v>
      </c>
      <c r="H1142" s="161" t="s">
        <v>3123</v>
      </c>
      <c r="I1142" s="161">
        <v>67</v>
      </c>
      <c r="J1142" s="161" t="s">
        <v>105</v>
      </c>
      <c r="K1142" s="21" t="s">
        <v>106</v>
      </c>
      <c r="L1142" s="161" t="s">
        <v>3380</v>
      </c>
      <c r="M1142" s="21" t="s">
        <v>2107</v>
      </c>
      <c r="N1142" s="161" t="s">
        <v>67</v>
      </c>
      <c r="O1142" s="21" t="s">
        <v>3424</v>
      </c>
      <c r="P1142" s="161" t="s">
        <v>109</v>
      </c>
      <c r="Q1142" s="21" t="s">
        <v>70</v>
      </c>
      <c r="R1142" s="161">
        <v>70</v>
      </c>
      <c r="S1142" s="161" t="s">
        <v>3377</v>
      </c>
      <c r="T1142" s="161" t="s">
        <v>1139</v>
      </c>
      <c r="U1142" s="161" t="s">
        <v>73</v>
      </c>
      <c r="V1142" s="21" t="s">
        <v>74</v>
      </c>
      <c r="W1142" s="21" t="s">
        <v>75</v>
      </c>
      <c r="X1142" s="161" t="s">
        <v>4120</v>
      </c>
      <c r="Y1142" s="161" t="s">
        <v>4135</v>
      </c>
      <c r="Z1142" s="161">
        <v>6.65</v>
      </c>
      <c r="AA1142" s="161" t="s">
        <v>77</v>
      </c>
      <c r="AB1142" s="161" t="s">
        <v>114</v>
      </c>
      <c r="AC1142" s="266" t="str">
        <f>HYPERLINK("https://gcsvt.ru/svetodiodnyie-svetilniki/svt-arh-direct-600-52w-8-trio/","Ссылка")</f>
        <v>Ссылка</v>
      </c>
      <c r="AD1142" s="167">
        <v>33465</v>
      </c>
    </row>
    <row r="1143" spans="1:30" s="161" customFormat="1" ht="39.950000000000003" hidden="1" customHeight="1" outlineLevel="2" x14ac:dyDescent="0.25">
      <c r="A1143" s="6"/>
      <c r="B1143" s="21" t="s">
        <v>4069</v>
      </c>
      <c r="C1143" s="160" t="s">
        <v>4087</v>
      </c>
      <c r="D1143" s="161">
        <v>20150</v>
      </c>
      <c r="E1143" s="161">
        <v>155</v>
      </c>
      <c r="F1143" s="161">
        <v>130</v>
      </c>
      <c r="G1143" s="161" t="s">
        <v>4204</v>
      </c>
      <c r="H1143" s="161" t="s">
        <v>1805</v>
      </c>
      <c r="I1143" s="161">
        <v>67</v>
      </c>
      <c r="J1143" s="161" t="s">
        <v>105</v>
      </c>
      <c r="K1143" s="21" t="s">
        <v>106</v>
      </c>
      <c r="L1143" s="161" t="s">
        <v>3380</v>
      </c>
      <c r="M1143" s="21" t="s">
        <v>2107</v>
      </c>
      <c r="N1143" s="161" t="s">
        <v>67</v>
      </c>
      <c r="O1143" s="21" t="s">
        <v>3424</v>
      </c>
      <c r="P1143" s="161" t="s">
        <v>109</v>
      </c>
      <c r="Q1143" s="21" t="s">
        <v>70</v>
      </c>
      <c r="R1143" s="161">
        <v>70</v>
      </c>
      <c r="S1143" s="161" t="s">
        <v>3377</v>
      </c>
      <c r="T1143" s="161" t="s">
        <v>1139</v>
      </c>
      <c r="U1143" s="161" t="s">
        <v>73</v>
      </c>
      <c r="V1143" s="21" t="s">
        <v>74</v>
      </c>
      <c r="W1143" s="21" t="s">
        <v>75</v>
      </c>
      <c r="X1143" s="161" t="s">
        <v>4120</v>
      </c>
      <c r="Y1143" s="161" t="s">
        <v>4135</v>
      </c>
      <c r="Z1143" s="161">
        <v>6.65</v>
      </c>
      <c r="AA1143" s="161" t="s">
        <v>77</v>
      </c>
      <c r="AB1143" s="161" t="s">
        <v>114</v>
      </c>
      <c r="AC1143" s="266" t="str">
        <f>HYPERLINK("https://gcsvt.ru/svetodiodnyie-svetilniki/svt-arh-direct-600-52w-15-trio/","Ссылка")</f>
        <v>Ссылка</v>
      </c>
      <c r="AD1143" s="167">
        <v>33465</v>
      </c>
    </row>
    <row r="1144" spans="1:30" s="161" customFormat="1" ht="39.950000000000003" hidden="1" customHeight="1" outlineLevel="2" x14ac:dyDescent="0.25">
      <c r="A1144" s="6"/>
      <c r="B1144" s="21" t="s">
        <v>4069</v>
      </c>
      <c r="C1144" s="160" t="s">
        <v>4088</v>
      </c>
      <c r="D1144" s="161">
        <v>20150</v>
      </c>
      <c r="E1144" s="161">
        <v>155</v>
      </c>
      <c r="F1144" s="161">
        <v>130</v>
      </c>
      <c r="G1144" s="161" t="s">
        <v>4205</v>
      </c>
      <c r="H1144" s="161" t="s">
        <v>1756</v>
      </c>
      <c r="I1144" s="161">
        <v>67</v>
      </c>
      <c r="J1144" s="161" t="s">
        <v>105</v>
      </c>
      <c r="K1144" s="21" t="s">
        <v>106</v>
      </c>
      <c r="L1144" s="161" t="s">
        <v>3380</v>
      </c>
      <c r="M1144" s="21" t="s">
        <v>2107</v>
      </c>
      <c r="N1144" s="161" t="s">
        <v>67</v>
      </c>
      <c r="O1144" s="21" t="s">
        <v>3424</v>
      </c>
      <c r="P1144" s="161" t="s">
        <v>109</v>
      </c>
      <c r="Q1144" s="21" t="s">
        <v>70</v>
      </c>
      <c r="R1144" s="161">
        <v>70</v>
      </c>
      <c r="S1144" s="161" t="s">
        <v>3377</v>
      </c>
      <c r="T1144" s="161" t="s">
        <v>1139</v>
      </c>
      <c r="U1144" s="161" t="s">
        <v>73</v>
      </c>
      <c r="V1144" s="21" t="s">
        <v>74</v>
      </c>
      <c r="W1144" s="21" t="s">
        <v>75</v>
      </c>
      <c r="X1144" s="161" t="s">
        <v>4120</v>
      </c>
      <c r="Y1144" s="161" t="s">
        <v>4135</v>
      </c>
      <c r="Z1144" s="161">
        <v>6.65</v>
      </c>
      <c r="AA1144" s="161" t="s">
        <v>77</v>
      </c>
      <c r="AB1144" s="161" t="s">
        <v>114</v>
      </c>
      <c r="AC1144" s="266" t="str">
        <f>HYPERLINK("https://gcsvt.ru/svetodiodnyie-svetilniki/svt-arh-direct-600-52w-25-trio/","Ссылка")</f>
        <v>Ссылка</v>
      </c>
      <c r="AD1144" s="167">
        <v>33465</v>
      </c>
    </row>
    <row r="1145" spans="1:30" s="161" customFormat="1" ht="39.950000000000003" hidden="1" customHeight="1" outlineLevel="2" x14ac:dyDescent="0.25">
      <c r="A1145" s="6"/>
      <c r="B1145" s="21" t="s">
        <v>4069</v>
      </c>
      <c r="C1145" s="160" t="s">
        <v>4089</v>
      </c>
      <c r="D1145" s="161">
        <v>20150</v>
      </c>
      <c r="E1145" s="161">
        <v>155</v>
      </c>
      <c r="F1145" s="161">
        <v>130</v>
      </c>
      <c r="G1145" s="161" t="s">
        <v>4206</v>
      </c>
      <c r="H1145" s="161" t="s">
        <v>1577</v>
      </c>
      <c r="I1145" s="161">
        <v>67</v>
      </c>
      <c r="J1145" s="161" t="s">
        <v>105</v>
      </c>
      <c r="K1145" s="21" t="s">
        <v>106</v>
      </c>
      <c r="L1145" s="161" t="s">
        <v>3380</v>
      </c>
      <c r="M1145" s="21" t="s">
        <v>2107</v>
      </c>
      <c r="N1145" s="161" t="s">
        <v>67</v>
      </c>
      <c r="O1145" s="21" t="s">
        <v>3424</v>
      </c>
      <c r="P1145" s="161" t="s">
        <v>109</v>
      </c>
      <c r="Q1145" s="21" t="s">
        <v>70</v>
      </c>
      <c r="R1145" s="161">
        <v>70</v>
      </c>
      <c r="S1145" s="161" t="s">
        <v>3377</v>
      </c>
      <c r="T1145" s="161" t="s">
        <v>1139</v>
      </c>
      <c r="U1145" s="161" t="s">
        <v>73</v>
      </c>
      <c r="V1145" s="21" t="s">
        <v>74</v>
      </c>
      <c r="W1145" s="21" t="s">
        <v>75</v>
      </c>
      <c r="X1145" s="161" t="s">
        <v>4120</v>
      </c>
      <c r="Y1145" s="161" t="s">
        <v>4135</v>
      </c>
      <c r="Z1145" s="161">
        <v>6.65</v>
      </c>
      <c r="AA1145" s="161" t="s">
        <v>77</v>
      </c>
      <c r="AB1145" s="161" t="s">
        <v>114</v>
      </c>
      <c r="AC1145" s="266" t="str">
        <f>HYPERLINK("https://gcsvt.ru/svetodiodnyie-svetilniki/svt-arh-direct-600-52w-45-trio/","Ссылка")</f>
        <v>Ссылка</v>
      </c>
      <c r="AD1145" s="167">
        <v>33465</v>
      </c>
    </row>
    <row r="1146" spans="1:30" s="161" customFormat="1" ht="39.950000000000003" hidden="1" customHeight="1" outlineLevel="2" x14ac:dyDescent="0.25">
      <c r="A1146" s="6"/>
      <c r="B1146" s="21" t="s">
        <v>4069</v>
      </c>
      <c r="C1146" s="160" t="s">
        <v>4090</v>
      </c>
      <c r="D1146" s="161">
        <v>27040</v>
      </c>
      <c r="E1146" s="161">
        <v>207</v>
      </c>
      <c r="F1146" s="161">
        <v>130</v>
      </c>
      <c r="G1146" s="161" t="s">
        <v>4207</v>
      </c>
      <c r="H1146" s="161" t="s">
        <v>3123</v>
      </c>
      <c r="I1146" s="161">
        <v>67</v>
      </c>
      <c r="J1146" s="161" t="s">
        <v>105</v>
      </c>
      <c r="K1146" s="21" t="s">
        <v>106</v>
      </c>
      <c r="L1146" s="161" t="s">
        <v>3380</v>
      </c>
      <c r="M1146" s="21" t="s">
        <v>2107</v>
      </c>
      <c r="N1146" s="161" t="s">
        <v>67</v>
      </c>
      <c r="O1146" s="21" t="s">
        <v>3424</v>
      </c>
      <c r="P1146" s="161" t="s">
        <v>109</v>
      </c>
      <c r="Q1146" s="21" t="s">
        <v>70</v>
      </c>
      <c r="R1146" s="161">
        <v>70</v>
      </c>
      <c r="S1146" s="161" t="s">
        <v>3377</v>
      </c>
      <c r="T1146" s="161" t="s">
        <v>1139</v>
      </c>
      <c r="U1146" s="161" t="s">
        <v>73</v>
      </c>
      <c r="V1146" s="21" t="s">
        <v>74</v>
      </c>
      <c r="W1146" s="21" t="s">
        <v>75</v>
      </c>
      <c r="X1146" s="161" t="s">
        <v>4125</v>
      </c>
      <c r="Y1146" s="161" t="s">
        <v>4130</v>
      </c>
      <c r="Z1146" s="161">
        <v>8.4</v>
      </c>
      <c r="AA1146" s="161" t="s">
        <v>77</v>
      </c>
      <c r="AB1146" s="161" t="s">
        <v>114</v>
      </c>
      <c r="AC1146" s="266" t="str">
        <f>HYPERLINK("https://gcsvt.ru/svetodiodnyie-svetilniki/svt-arh-direct-600-52w-8-quattro/","Ссылка")</f>
        <v>Ссылка</v>
      </c>
      <c r="AD1146" s="167">
        <v>42415</v>
      </c>
    </row>
    <row r="1147" spans="1:30" s="161" customFormat="1" ht="39.950000000000003" hidden="1" customHeight="1" outlineLevel="2" x14ac:dyDescent="0.25">
      <c r="A1147" s="6"/>
      <c r="B1147" s="21" t="s">
        <v>4069</v>
      </c>
      <c r="C1147" s="160" t="s">
        <v>4091</v>
      </c>
      <c r="D1147" s="161">
        <v>27040</v>
      </c>
      <c r="E1147" s="161">
        <v>207</v>
      </c>
      <c r="F1147" s="161">
        <v>130</v>
      </c>
      <c r="G1147" s="161" t="s">
        <v>4208</v>
      </c>
      <c r="H1147" s="161" t="s">
        <v>1805</v>
      </c>
      <c r="I1147" s="161">
        <v>67</v>
      </c>
      <c r="J1147" s="161" t="s">
        <v>105</v>
      </c>
      <c r="K1147" s="21" t="s">
        <v>106</v>
      </c>
      <c r="L1147" s="161" t="s">
        <v>3380</v>
      </c>
      <c r="M1147" s="21" t="s">
        <v>2107</v>
      </c>
      <c r="N1147" s="161" t="s">
        <v>67</v>
      </c>
      <c r="O1147" s="21" t="s">
        <v>3424</v>
      </c>
      <c r="P1147" s="161" t="s">
        <v>109</v>
      </c>
      <c r="Q1147" s="21" t="s">
        <v>70</v>
      </c>
      <c r="R1147" s="161">
        <v>70</v>
      </c>
      <c r="S1147" s="161" t="s">
        <v>3377</v>
      </c>
      <c r="T1147" s="161" t="s">
        <v>1139</v>
      </c>
      <c r="U1147" s="161" t="s">
        <v>73</v>
      </c>
      <c r="V1147" s="21" t="s">
        <v>74</v>
      </c>
      <c r="W1147" s="21" t="s">
        <v>75</v>
      </c>
      <c r="X1147" s="161" t="s">
        <v>4125</v>
      </c>
      <c r="Y1147" s="161" t="s">
        <v>4130</v>
      </c>
      <c r="Z1147" s="161">
        <v>8.4</v>
      </c>
      <c r="AA1147" s="161" t="s">
        <v>77</v>
      </c>
      <c r="AB1147" s="161" t="s">
        <v>114</v>
      </c>
      <c r="AC1147" s="266" t="str">
        <f>HYPERLINK("https://gcsvt.ru/svetodiodnyie-svetilniki/svt-arh-direct-600-52w-15-quattro/","Ссылка")</f>
        <v>Ссылка</v>
      </c>
      <c r="AD1147" s="167">
        <v>42415</v>
      </c>
    </row>
    <row r="1148" spans="1:30" s="161" customFormat="1" ht="39.950000000000003" hidden="1" customHeight="1" outlineLevel="2" x14ac:dyDescent="0.25">
      <c r="A1148" s="6"/>
      <c r="B1148" s="21" t="s">
        <v>4069</v>
      </c>
      <c r="C1148" s="160" t="s">
        <v>4092</v>
      </c>
      <c r="D1148" s="161">
        <v>27040</v>
      </c>
      <c r="E1148" s="161">
        <v>207</v>
      </c>
      <c r="F1148" s="161">
        <v>130</v>
      </c>
      <c r="G1148" s="161" t="s">
        <v>4209</v>
      </c>
      <c r="H1148" s="161" t="s">
        <v>1756</v>
      </c>
      <c r="I1148" s="161">
        <v>67</v>
      </c>
      <c r="J1148" s="161" t="s">
        <v>105</v>
      </c>
      <c r="K1148" s="21" t="s">
        <v>106</v>
      </c>
      <c r="L1148" s="161" t="s">
        <v>3380</v>
      </c>
      <c r="M1148" s="21" t="s">
        <v>2107</v>
      </c>
      <c r="N1148" s="161" t="s">
        <v>67</v>
      </c>
      <c r="O1148" s="21" t="s">
        <v>3424</v>
      </c>
      <c r="P1148" s="161" t="s">
        <v>109</v>
      </c>
      <c r="Q1148" s="21" t="s">
        <v>70</v>
      </c>
      <c r="R1148" s="161">
        <v>70</v>
      </c>
      <c r="S1148" s="161" t="s">
        <v>3377</v>
      </c>
      <c r="T1148" s="161" t="s">
        <v>1139</v>
      </c>
      <c r="U1148" s="161" t="s">
        <v>73</v>
      </c>
      <c r="V1148" s="21" t="s">
        <v>74</v>
      </c>
      <c r="W1148" s="21" t="s">
        <v>75</v>
      </c>
      <c r="X1148" s="161" t="s">
        <v>4125</v>
      </c>
      <c r="Y1148" s="161" t="s">
        <v>4130</v>
      </c>
      <c r="Z1148" s="161">
        <v>8.4</v>
      </c>
      <c r="AA1148" s="161" t="s">
        <v>77</v>
      </c>
      <c r="AB1148" s="161" t="s">
        <v>114</v>
      </c>
      <c r="AC1148" s="266" t="str">
        <f>HYPERLINK("https://gcsvt.ru/svetodiodnyie-svetilniki/svt-arh-direct-600-52w-25-quattro/","Ссылка")</f>
        <v>Ссылка</v>
      </c>
      <c r="AD1148" s="167">
        <v>42415</v>
      </c>
    </row>
    <row r="1149" spans="1:30" s="161" customFormat="1" ht="39.950000000000003" hidden="1" customHeight="1" outlineLevel="2" x14ac:dyDescent="0.25">
      <c r="A1149" s="6"/>
      <c r="B1149" s="21" t="s">
        <v>4069</v>
      </c>
      <c r="C1149" s="160" t="s">
        <v>4093</v>
      </c>
      <c r="D1149" s="161">
        <v>27040</v>
      </c>
      <c r="E1149" s="161">
        <v>207</v>
      </c>
      <c r="F1149" s="161">
        <v>130</v>
      </c>
      <c r="G1149" s="161" t="s">
        <v>4210</v>
      </c>
      <c r="H1149" s="161" t="s">
        <v>1577</v>
      </c>
      <c r="I1149" s="161">
        <v>67</v>
      </c>
      <c r="J1149" s="161" t="s">
        <v>105</v>
      </c>
      <c r="K1149" s="21" t="s">
        <v>106</v>
      </c>
      <c r="L1149" s="161" t="s">
        <v>3380</v>
      </c>
      <c r="M1149" s="21" t="s">
        <v>2107</v>
      </c>
      <c r="N1149" s="161" t="s">
        <v>67</v>
      </c>
      <c r="O1149" s="21" t="s">
        <v>3424</v>
      </c>
      <c r="P1149" s="161" t="s">
        <v>109</v>
      </c>
      <c r="Q1149" s="21" t="s">
        <v>70</v>
      </c>
      <c r="R1149" s="161">
        <v>70</v>
      </c>
      <c r="S1149" s="161" t="s">
        <v>3377</v>
      </c>
      <c r="T1149" s="161" t="s">
        <v>1139</v>
      </c>
      <c r="U1149" s="161" t="s">
        <v>73</v>
      </c>
      <c r="V1149" s="21" t="s">
        <v>74</v>
      </c>
      <c r="W1149" s="21" t="s">
        <v>75</v>
      </c>
      <c r="X1149" s="161" t="s">
        <v>4125</v>
      </c>
      <c r="Y1149" s="161" t="s">
        <v>4130</v>
      </c>
      <c r="Z1149" s="161">
        <v>8.4</v>
      </c>
      <c r="AA1149" s="161" t="s">
        <v>77</v>
      </c>
      <c r="AB1149" s="161" t="s">
        <v>114</v>
      </c>
      <c r="AC1149" s="266" t="str">
        <f>HYPERLINK("https://gcsvt.ru/svetodiodnyie-svetilniki/svt-arh-direct-600-52w-45-quattro/","Ссылка")</f>
        <v>Ссылка</v>
      </c>
      <c r="AD1149" s="167">
        <v>42415</v>
      </c>
    </row>
    <row r="1150" spans="1:30" s="161" customFormat="1" ht="39.950000000000003" hidden="1" customHeight="1" outlineLevel="2" x14ac:dyDescent="0.25">
      <c r="A1150" s="6"/>
      <c r="B1150" s="21" t="s">
        <v>4069</v>
      </c>
      <c r="C1150" s="160" t="s">
        <v>4094</v>
      </c>
      <c r="D1150" s="161">
        <v>25250</v>
      </c>
      <c r="E1150" s="161">
        <v>194</v>
      </c>
      <c r="F1150" s="161">
        <v>130</v>
      </c>
      <c r="G1150" s="161" t="s">
        <v>4211</v>
      </c>
      <c r="H1150" s="161" t="s">
        <v>3123</v>
      </c>
      <c r="I1150" s="161">
        <v>67</v>
      </c>
      <c r="J1150" s="161" t="s">
        <v>105</v>
      </c>
      <c r="K1150" s="21" t="s">
        <v>106</v>
      </c>
      <c r="L1150" s="161" t="s">
        <v>3380</v>
      </c>
      <c r="M1150" s="21" t="s">
        <v>2107</v>
      </c>
      <c r="N1150" s="161" t="s">
        <v>67</v>
      </c>
      <c r="O1150" s="21" t="s">
        <v>3424</v>
      </c>
      <c r="P1150" s="161" t="s">
        <v>109</v>
      </c>
      <c r="Q1150" s="21" t="s">
        <v>70</v>
      </c>
      <c r="R1150" s="161">
        <v>70</v>
      </c>
      <c r="S1150" s="161" t="s">
        <v>3377</v>
      </c>
      <c r="T1150" s="161" t="s">
        <v>1139</v>
      </c>
      <c r="U1150" s="161" t="s">
        <v>73</v>
      </c>
      <c r="V1150" s="21" t="s">
        <v>74</v>
      </c>
      <c r="W1150" s="21" t="s">
        <v>75</v>
      </c>
      <c r="X1150" s="161" t="s">
        <v>4121</v>
      </c>
      <c r="Y1150" s="161" t="s">
        <v>4134</v>
      </c>
      <c r="Z1150" s="161">
        <v>7.2</v>
      </c>
      <c r="AA1150" s="161" t="s">
        <v>77</v>
      </c>
      <c r="AB1150" s="161" t="s">
        <v>114</v>
      </c>
      <c r="AC1150" s="266" t="str">
        <f>HYPERLINK("https://gcsvt.ru/svetodiodnyie-svetilniki/svt-arh-direct-750-65w-8-trio/","Ссылка")</f>
        <v>Ссылка</v>
      </c>
      <c r="AD1150" s="167">
        <v>38327</v>
      </c>
    </row>
    <row r="1151" spans="1:30" s="161" customFormat="1" ht="39.950000000000003" hidden="1" customHeight="1" outlineLevel="2" x14ac:dyDescent="0.25">
      <c r="A1151" s="215"/>
      <c r="B1151" s="21" t="s">
        <v>4069</v>
      </c>
      <c r="C1151" s="160" t="s">
        <v>4095</v>
      </c>
      <c r="D1151" s="161">
        <v>25250</v>
      </c>
      <c r="E1151" s="161">
        <v>194</v>
      </c>
      <c r="F1151" s="161">
        <v>130</v>
      </c>
      <c r="G1151" s="161" t="s">
        <v>4212</v>
      </c>
      <c r="H1151" s="161" t="s">
        <v>1805</v>
      </c>
      <c r="I1151" s="161">
        <v>67</v>
      </c>
      <c r="J1151" s="161" t="s">
        <v>105</v>
      </c>
      <c r="K1151" s="21" t="s">
        <v>106</v>
      </c>
      <c r="L1151" s="161" t="s">
        <v>3380</v>
      </c>
      <c r="M1151" s="21" t="s">
        <v>2107</v>
      </c>
      <c r="N1151" s="161" t="s">
        <v>67</v>
      </c>
      <c r="O1151" s="21" t="s">
        <v>3424</v>
      </c>
      <c r="P1151" s="161" t="s">
        <v>109</v>
      </c>
      <c r="Q1151" s="21" t="s">
        <v>70</v>
      </c>
      <c r="R1151" s="161">
        <v>70</v>
      </c>
      <c r="S1151" s="161" t="s">
        <v>3377</v>
      </c>
      <c r="T1151" s="161" t="s">
        <v>1139</v>
      </c>
      <c r="U1151" s="161" t="s">
        <v>73</v>
      </c>
      <c r="V1151" s="21" t="s">
        <v>74</v>
      </c>
      <c r="W1151" s="21" t="s">
        <v>75</v>
      </c>
      <c r="X1151" s="161" t="s">
        <v>4121</v>
      </c>
      <c r="Y1151" s="161" t="s">
        <v>4134</v>
      </c>
      <c r="Z1151" s="161">
        <v>7.2</v>
      </c>
      <c r="AA1151" s="161" t="s">
        <v>77</v>
      </c>
      <c r="AB1151" s="161" t="s">
        <v>114</v>
      </c>
      <c r="AC1151" s="266" t="str">
        <f>HYPERLINK("https://gcsvt.ru/svetodiodnyie-svetilniki/svt-arh-direct-750-65w-15-trio/","Ссылка")</f>
        <v>Ссылка</v>
      </c>
      <c r="AD1151" s="167">
        <v>38327</v>
      </c>
    </row>
    <row r="1152" spans="1:30" s="161" customFormat="1" ht="39.950000000000003" hidden="1" customHeight="1" outlineLevel="2" x14ac:dyDescent="0.25">
      <c r="A1152" s="6"/>
      <c r="B1152" s="21" t="s">
        <v>4069</v>
      </c>
      <c r="C1152" s="160" t="s">
        <v>4096</v>
      </c>
      <c r="D1152" s="161">
        <v>25250</v>
      </c>
      <c r="E1152" s="161">
        <v>194</v>
      </c>
      <c r="F1152" s="161">
        <v>130</v>
      </c>
      <c r="G1152" s="161" t="s">
        <v>4213</v>
      </c>
      <c r="H1152" s="161" t="s">
        <v>1756</v>
      </c>
      <c r="I1152" s="161">
        <v>67</v>
      </c>
      <c r="J1152" s="161" t="s">
        <v>105</v>
      </c>
      <c r="K1152" s="21" t="s">
        <v>106</v>
      </c>
      <c r="L1152" s="161" t="s">
        <v>3380</v>
      </c>
      <c r="M1152" s="21" t="s">
        <v>2107</v>
      </c>
      <c r="N1152" s="161" t="s">
        <v>67</v>
      </c>
      <c r="O1152" s="21" t="s">
        <v>3424</v>
      </c>
      <c r="P1152" s="161" t="s">
        <v>109</v>
      </c>
      <c r="Q1152" s="21" t="s">
        <v>70</v>
      </c>
      <c r="R1152" s="161">
        <v>70</v>
      </c>
      <c r="S1152" s="161" t="s">
        <v>3377</v>
      </c>
      <c r="T1152" s="161" t="s">
        <v>1139</v>
      </c>
      <c r="U1152" s="161" t="s">
        <v>73</v>
      </c>
      <c r="V1152" s="21" t="s">
        <v>74</v>
      </c>
      <c r="W1152" s="21" t="s">
        <v>75</v>
      </c>
      <c r="X1152" s="161" t="s">
        <v>4121</v>
      </c>
      <c r="Y1152" s="161" t="s">
        <v>4134</v>
      </c>
      <c r="Z1152" s="161">
        <v>7.2</v>
      </c>
      <c r="AA1152" s="161" t="s">
        <v>77</v>
      </c>
      <c r="AB1152" s="161" t="s">
        <v>114</v>
      </c>
      <c r="AC1152" s="266" t="str">
        <f>HYPERLINK("https://gcsvt.ru/svetodiodnyie-svetilniki/svt-arh-direct-750-65w-25-trio/","Ссылка")</f>
        <v>Ссылка</v>
      </c>
      <c r="AD1152" s="167">
        <v>38327</v>
      </c>
    </row>
    <row r="1153" spans="1:30" s="161" customFormat="1" ht="39.950000000000003" hidden="1" customHeight="1" outlineLevel="2" x14ac:dyDescent="0.25">
      <c r="A1153" s="6"/>
      <c r="B1153" s="21" t="s">
        <v>4069</v>
      </c>
      <c r="C1153" s="160" t="s">
        <v>4097</v>
      </c>
      <c r="D1153" s="161">
        <v>25250</v>
      </c>
      <c r="E1153" s="161">
        <v>194</v>
      </c>
      <c r="F1153" s="161">
        <v>130</v>
      </c>
      <c r="G1153" s="161" t="s">
        <v>4214</v>
      </c>
      <c r="H1153" s="161" t="s">
        <v>1577</v>
      </c>
      <c r="I1153" s="161">
        <v>67</v>
      </c>
      <c r="J1153" s="161" t="s">
        <v>105</v>
      </c>
      <c r="K1153" s="21" t="s">
        <v>106</v>
      </c>
      <c r="L1153" s="161" t="s">
        <v>3380</v>
      </c>
      <c r="M1153" s="21" t="s">
        <v>2107</v>
      </c>
      <c r="N1153" s="161" t="s">
        <v>67</v>
      </c>
      <c r="O1153" s="21" t="s">
        <v>3424</v>
      </c>
      <c r="P1153" s="161" t="s">
        <v>109</v>
      </c>
      <c r="Q1153" s="21" t="s">
        <v>70</v>
      </c>
      <c r="R1153" s="161">
        <v>70</v>
      </c>
      <c r="S1153" s="161" t="s">
        <v>3377</v>
      </c>
      <c r="T1153" s="161" t="s">
        <v>1139</v>
      </c>
      <c r="U1153" s="161" t="s">
        <v>73</v>
      </c>
      <c r="V1153" s="21" t="s">
        <v>74</v>
      </c>
      <c r="W1153" s="21" t="s">
        <v>75</v>
      </c>
      <c r="X1153" s="161" t="s">
        <v>4121</v>
      </c>
      <c r="Y1153" s="161" t="s">
        <v>4134</v>
      </c>
      <c r="Z1153" s="161">
        <v>7.2</v>
      </c>
      <c r="AA1153" s="161" t="s">
        <v>77</v>
      </c>
      <c r="AB1153" s="161" t="s">
        <v>114</v>
      </c>
      <c r="AC1153" s="266" t="str">
        <f>HYPERLINK("https://gcsvt.ru/svetodiodnyie-svetilniki/svt-arh-direct-750-65w-45-trio/","Ссылка")</f>
        <v>Ссылка</v>
      </c>
      <c r="AD1153" s="167">
        <v>38327</v>
      </c>
    </row>
    <row r="1154" spans="1:30" s="161" customFormat="1" ht="39.950000000000003" hidden="1" customHeight="1" outlineLevel="2" x14ac:dyDescent="0.25">
      <c r="A1154" s="6"/>
      <c r="B1154" s="21" t="s">
        <v>4069</v>
      </c>
      <c r="C1154" s="160" t="s">
        <v>4098</v>
      </c>
      <c r="D1154" s="161">
        <v>33540</v>
      </c>
      <c r="E1154" s="161">
        <v>258</v>
      </c>
      <c r="F1154" s="161">
        <v>130</v>
      </c>
      <c r="G1154" s="161" t="s">
        <v>4215</v>
      </c>
      <c r="H1154" s="161" t="s">
        <v>3123</v>
      </c>
      <c r="I1154" s="161">
        <v>67</v>
      </c>
      <c r="J1154" s="161" t="s">
        <v>105</v>
      </c>
      <c r="K1154" s="21" t="s">
        <v>106</v>
      </c>
      <c r="L1154" s="161" t="s">
        <v>3380</v>
      </c>
      <c r="M1154" s="21" t="s">
        <v>2107</v>
      </c>
      <c r="N1154" s="161" t="s">
        <v>67</v>
      </c>
      <c r="O1154" s="21" t="s">
        <v>3424</v>
      </c>
      <c r="P1154" s="161" t="s">
        <v>109</v>
      </c>
      <c r="Q1154" s="21" t="s">
        <v>70</v>
      </c>
      <c r="R1154" s="161">
        <v>70</v>
      </c>
      <c r="S1154" s="161" t="s">
        <v>3377</v>
      </c>
      <c r="T1154" s="161" t="s">
        <v>1139</v>
      </c>
      <c r="U1154" s="161" t="s">
        <v>73</v>
      </c>
      <c r="V1154" s="21" t="s">
        <v>74</v>
      </c>
      <c r="W1154" s="21" t="s">
        <v>75</v>
      </c>
      <c r="X1154" s="161" t="s">
        <v>4126</v>
      </c>
      <c r="Y1154" s="161" t="s">
        <v>4131</v>
      </c>
      <c r="Z1154" s="161">
        <v>9.6999999999999993</v>
      </c>
      <c r="AA1154" s="161" t="s">
        <v>77</v>
      </c>
      <c r="AB1154" s="161" t="s">
        <v>114</v>
      </c>
      <c r="AC1154" s="266" t="str">
        <f>HYPERLINK("https://gcsvt.ru/svetodiodnyie-svetilniki/svt-arh-direct-750-65w-8-quattro/","Ссылка")</f>
        <v>Ссылка</v>
      </c>
      <c r="AD1154" s="167">
        <v>52309</v>
      </c>
    </row>
    <row r="1155" spans="1:30" s="161" customFormat="1" ht="39.950000000000003" hidden="1" customHeight="1" outlineLevel="2" x14ac:dyDescent="0.25">
      <c r="A1155" s="6"/>
      <c r="B1155" s="21" t="s">
        <v>4069</v>
      </c>
      <c r="C1155" s="160" t="s">
        <v>4099</v>
      </c>
      <c r="D1155" s="161">
        <v>33540</v>
      </c>
      <c r="E1155" s="161">
        <v>258</v>
      </c>
      <c r="F1155" s="161">
        <v>130</v>
      </c>
      <c r="G1155" s="161" t="s">
        <v>4216</v>
      </c>
      <c r="H1155" s="161" t="s">
        <v>1805</v>
      </c>
      <c r="I1155" s="161">
        <v>67</v>
      </c>
      <c r="J1155" s="161" t="s">
        <v>105</v>
      </c>
      <c r="K1155" s="21" t="s">
        <v>106</v>
      </c>
      <c r="L1155" s="161" t="s">
        <v>3380</v>
      </c>
      <c r="M1155" s="21" t="s">
        <v>2107</v>
      </c>
      <c r="N1155" s="161" t="s">
        <v>67</v>
      </c>
      <c r="O1155" s="21" t="s">
        <v>3424</v>
      </c>
      <c r="P1155" s="161" t="s">
        <v>109</v>
      </c>
      <c r="Q1155" s="21" t="s">
        <v>70</v>
      </c>
      <c r="R1155" s="161">
        <v>70</v>
      </c>
      <c r="S1155" s="161" t="s">
        <v>3377</v>
      </c>
      <c r="T1155" s="161" t="s">
        <v>1139</v>
      </c>
      <c r="U1155" s="161" t="s">
        <v>73</v>
      </c>
      <c r="V1155" s="21" t="s">
        <v>74</v>
      </c>
      <c r="W1155" s="21" t="s">
        <v>75</v>
      </c>
      <c r="X1155" s="161" t="s">
        <v>4126</v>
      </c>
      <c r="Y1155" s="161" t="s">
        <v>4131</v>
      </c>
      <c r="Z1155" s="161">
        <v>9.6999999999999993</v>
      </c>
      <c r="AA1155" s="161" t="s">
        <v>77</v>
      </c>
      <c r="AB1155" s="161" t="s">
        <v>114</v>
      </c>
      <c r="AC1155" s="266" t="str">
        <f>HYPERLINK("https://gcsvt.ru/svetodiodnyie-svetilniki/svt-arh-direct-750-65w-15-quattro/","Ссылка")</f>
        <v>Ссылка</v>
      </c>
      <c r="AD1155" s="167">
        <v>52309</v>
      </c>
    </row>
    <row r="1156" spans="1:30" s="161" customFormat="1" ht="39.950000000000003" hidden="1" customHeight="1" outlineLevel="2" x14ac:dyDescent="0.25">
      <c r="A1156" s="6"/>
      <c r="B1156" s="21" t="s">
        <v>4069</v>
      </c>
      <c r="C1156" s="160" t="s">
        <v>4100</v>
      </c>
      <c r="D1156" s="161">
        <v>33540</v>
      </c>
      <c r="E1156" s="161">
        <v>258</v>
      </c>
      <c r="F1156" s="161">
        <v>130</v>
      </c>
      <c r="G1156" s="161" t="s">
        <v>4217</v>
      </c>
      <c r="H1156" s="161" t="s">
        <v>1756</v>
      </c>
      <c r="I1156" s="161">
        <v>67</v>
      </c>
      <c r="J1156" s="161" t="s">
        <v>105</v>
      </c>
      <c r="K1156" s="21" t="s">
        <v>106</v>
      </c>
      <c r="L1156" s="161" t="s">
        <v>3380</v>
      </c>
      <c r="M1156" s="21" t="s">
        <v>2107</v>
      </c>
      <c r="N1156" s="161" t="s">
        <v>67</v>
      </c>
      <c r="O1156" s="21" t="s">
        <v>3424</v>
      </c>
      <c r="P1156" s="161" t="s">
        <v>109</v>
      </c>
      <c r="Q1156" s="21" t="s">
        <v>70</v>
      </c>
      <c r="R1156" s="161">
        <v>70</v>
      </c>
      <c r="S1156" s="161" t="s">
        <v>3377</v>
      </c>
      <c r="T1156" s="161" t="s">
        <v>1139</v>
      </c>
      <c r="U1156" s="161" t="s">
        <v>73</v>
      </c>
      <c r="V1156" s="21" t="s">
        <v>74</v>
      </c>
      <c r="W1156" s="21" t="s">
        <v>75</v>
      </c>
      <c r="X1156" s="161" t="s">
        <v>4126</v>
      </c>
      <c r="Y1156" s="161" t="s">
        <v>4131</v>
      </c>
      <c r="Z1156" s="161">
        <v>9.6999999999999993</v>
      </c>
      <c r="AA1156" s="161" t="s">
        <v>77</v>
      </c>
      <c r="AB1156" s="161" t="s">
        <v>114</v>
      </c>
      <c r="AC1156" s="266" t="str">
        <f>HYPERLINK("https://gcsvt.ru/svetodiodnyie-svetilniki/svt-arh-direct-750-65w-25-quattro/","Ссылка")</f>
        <v>Ссылка</v>
      </c>
      <c r="AD1156" s="167">
        <v>52309</v>
      </c>
    </row>
    <row r="1157" spans="1:30" s="161" customFormat="1" ht="39.950000000000003" hidden="1" customHeight="1" outlineLevel="2" x14ac:dyDescent="0.25">
      <c r="A1157" s="6"/>
      <c r="B1157" s="21" t="s">
        <v>4069</v>
      </c>
      <c r="C1157" s="160" t="s">
        <v>4101</v>
      </c>
      <c r="D1157" s="161">
        <v>33540</v>
      </c>
      <c r="E1157" s="161">
        <v>258</v>
      </c>
      <c r="F1157" s="161">
        <v>130</v>
      </c>
      <c r="G1157" s="161" t="s">
        <v>4218</v>
      </c>
      <c r="H1157" s="161" t="s">
        <v>1577</v>
      </c>
      <c r="I1157" s="161">
        <v>67</v>
      </c>
      <c r="J1157" s="161" t="s">
        <v>105</v>
      </c>
      <c r="K1157" s="21" t="s">
        <v>106</v>
      </c>
      <c r="L1157" s="161" t="s">
        <v>3380</v>
      </c>
      <c r="M1157" s="21" t="s">
        <v>2107</v>
      </c>
      <c r="N1157" s="161" t="s">
        <v>67</v>
      </c>
      <c r="O1157" s="21" t="s">
        <v>3424</v>
      </c>
      <c r="P1157" s="161" t="s">
        <v>109</v>
      </c>
      <c r="Q1157" s="21" t="s">
        <v>70</v>
      </c>
      <c r="R1157" s="161">
        <v>70</v>
      </c>
      <c r="S1157" s="161" t="s">
        <v>3377</v>
      </c>
      <c r="T1157" s="161" t="s">
        <v>1139</v>
      </c>
      <c r="U1157" s="161" t="s">
        <v>73</v>
      </c>
      <c r="V1157" s="21" t="s">
        <v>74</v>
      </c>
      <c r="W1157" s="21" t="s">
        <v>75</v>
      </c>
      <c r="X1157" s="161" t="s">
        <v>4126</v>
      </c>
      <c r="Y1157" s="161" t="s">
        <v>4131</v>
      </c>
      <c r="Z1157" s="161">
        <v>9.6999999999999993</v>
      </c>
      <c r="AA1157" s="161" t="s">
        <v>77</v>
      </c>
      <c r="AB1157" s="161" t="s">
        <v>114</v>
      </c>
      <c r="AC1157" s="266" t="str">
        <f>HYPERLINK("https://gcsvt.ru/svetodiodnyie-svetilniki/svt-arh-direct-750-65w-45-quattro/","Ссылка")</f>
        <v>Ссылка</v>
      </c>
      <c r="AD1157" s="167">
        <v>52309</v>
      </c>
    </row>
    <row r="1158" spans="1:30" s="161" customFormat="1" ht="39.950000000000003" hidden="1" customHeight="1" outlineLevel="2" x14ac:dyDescent="0.25">
      <c r="A1158" s="6"/>
      <c r="B1158" s="21" t="s">
        <v>4069</v>
      </c>
      <c r="C1158" s="160" t="s">
        <v>4102</v>
      </c>
      <c r="D1158" s="161">
        <v>30160</v>
      </c>
      <c r="E1158" s="161">
        <v>232</v>
      </c>
      <c r="F1158" s="161">
        <v>130</v>
      </c>
      <c r="G1158" s="161" t="s">
        <v>4219</v>
      </c>
      <c r="H1158" s="161" t="s">
        <v>3123</v>
      </c>
      <c r="I1158" s="161">
        <v>67</v>
      </c>
      <c r="J1158" s="161" t="s">
        <v>105</v>
      </c>
      <c r="K1158" s="21" t="s">
        <v>106</v>
      </c>
      <c r="L1158" s="161" t="s">
        <v>3380</v>
      </c>
      <c r="M1158" s="21" t="s">
        <v>2107</v>
      </c>
      <c r="N1158" s="161" t="s">
        <v>67</v>
      </c>
      <c r="O1158" s="21" t="s">
        <v>3424</v>
      </c>
      <c r="P1158" s="161" t="s">
        <v>109</v>
      </c>
      <c r="Q1158" s="21" t="s">
        <v>70</v>
      </c>
      <c r="R1158" s="161">
        <v>70</v>
      </c>
      <c r="S1158" s="161" t="s">
        <v>3377</v>
      </c>
      <c r="T1158" s="161" t="s">
        <v>1139</v>
      </c>
      <c r="U1158" s="161" t="s">
        <v>73</v>
      </c>
      <c r="V1158" s="21" t="s">
        <v>74</v>
      </c>
      <c r="W1158" s="21" t="s">
        <v>75</v>
      </c>
      <c r="X1158" s="161" t="s">
        <v>4122</v>
      </c>
      <c r="Y1158" s="161" t="s">
        <v>4133</v>
      </c>
      <c r="Z1158" s="161">
        <v>8.6999999999999993</v>
      </c>
      <c r="AA1158" s="161" t="s">
        <v>77</v>
      </c>
      <c r="AB1158" s="161" t="s">
        <v>114</v>
      </c>
      <c r="AC1158" s="266" t="str">
        <f>HYPERLINK("https://gcsvt.ru/svetodiodnyie-svetilniki/svt-arh-direct-900-77w-8-trio/","Ссылка")</f>
        <v>Ссылка</v>
      </c>
      <c r="AD1158" s="167">
        <v>43792</v>
      </c>
    </row>
    <row r="1159" spans="1:30" s="161" customFormat="1" ht="39.950000000000003" hidden="1" customHeight="1" outlineLevel="2" x14ac:dyDescent="0.25">
      <c r="A1159" s="6"/>
      <c r="B1159" s="21" t="s">
        <v>4069</v>
      </c>
      <c r="C1159" s="160" t="s">
        <v>4103</v>
      </c>
      <c r="D1159" s="161">
        <v>30160</v>
      </c>
      <c r="E1159" s="161">
        <v>232</v>
      </c>
      <c r="F1159" s="161">
        <v>130</v>
      </c>
      <c r="G1159" s="161" t="s">
        <v>4220</v>
      </c>
      <c r="H1159" s="161" t="s">
        <v>1805</v>
      </c>
      <c r="I1159" s="161">
        <v>67</v>
      </c>
      <c r="J1159" s="161" t="s">
        <v>105</v>
      </c>
      <c r="K1159" s="21" t="s">
        <v>106</v>
      </c>
      <c r="L1159" s="161" t="s">
        <v>3380</v>
      </c>
      <c r="M1159" s="21" t="s">
        <v>2107</v>
      </c>
      <c r="N1159" s="161" t="s">
        <v>67</v>
      </c>
      <c r="O1159" s="21" t="s">
        <v>3424</v>
      </c>
      <c r="P1159" s="161" t="s">
        <v>109</v>
      </c>
      <c r="Q1159" s="21" t="s">
        <v>70</v>
      </c>
      <c r="R1159" s="161">
        <v>70</v>
      </c>
      <c r="S1159" s="161" t="s">
        <v>3377</v>
      </c>
      <c r="T1159" s="161" t="s">
        <v>1139</v>
      </c>
      <c r="U1159" s="161" t="s">
        <v>73</v>
      </c>
      <c r="V1159" s="21" t="s">
        <v>74</v>
      </c>
      <c r="W1159" s="21" t="s">
        <v>75</v>
      </c>
      <c r="X1159" s="161" t="s">
        <v>4122</v>
      </c>
      <c r="Y1159" s="161" t="s">
        <v>4133</v>
      </c>
      <c r="Z1159" s="161">
        <v>8.6999999999999993</v>
      </c>
      <c r="AA1159" s="161" t="s">
        <v>77</v>
      </c>
      <c r="AB1159" s="161" t="s">
        <v>114</v>
      </c>
      <c r="AC1159" s="266" t="str">
        <f>HYPERLINK("https://gcsvt.ru/svetodiodnyie-svetilniki/svt-arh-direct-900-77w-15-trio/","Ссылка")</f>
        <v>Ссылка</v>
      </c>
      <c r="AD1159" s="167">
        <v>43792</v>
      </c>
    </row>
    <row r="1160" spans="1:30" s="161" customFormat="1" ht="39.950000000000003" hidden="1" customHeight="1" outlineLevel="2" x14ac:dyDescent="0.25">
      <c r="A1160" s="6"/>
      <c r="B1160" s="21" t="s">
        <v>4069</v>
      </c>
      <c r="C1160" s="160" t="s">
        <v>4104</v>
      </c>
      <c r="D1160" s="161">
        <v>30160</v>
      </c>
      <c r="E1160" s="161">
        <v>232</v>
      </c>
      <c r="F1160" s="161">
        <v>130</v>
      </c>
      <c r="G1160" s="161" t="s">
        <v>4221</v>
      </c>
      <c r="H1160" s="161" t="s">
        <v>1756</v>
      </c>
      <c r="I1160" s="161">
        <v>67</v>
      </c>
      <c r="J1160" s="161" t="s">
        <v>105</v>
      </c>
      <c r="K1160" s="21" t="s">
        <v>106</v>
      </c>
      <c r="L1160" s="161" t="s">
        <v>3380</v>
      </c>
      <c r="M1160" s="21" t="s">
        <v>2107</v>
      </c>
      <c r="N1160" s="161" t="s">
        <v>67</v>
      </c>
      <c r="O1160" s="21" t="s">
        <v>3424</v>
      </c>
      <c r="P1160" s="161" t="s">
        <v>109</v>
      </c>
      <c r="Q1160" s="21" t="s">
        <v>70</v>
      </c>
      <c r="R1160" s="161">
        <v>70</v>
      </c>
      <c r="S1160" s="161" t="s">
        <v>3377</v>
      </c>
      <c r="T1160" s="161" t="s">
        <v>1139</v>
      </c>
      <c r="U1160" s="161" t="s">
        <v>73</v>
      </c>
      <c r="V1160" s="21" t="s">
        <v>74</v>
      </c>
      <c r="W1160" s="21" t="s">
        <v>75</v>
      </c>
      <c r="X1160" s="161" t="s">
        <v>4122</v>
      </c>
      <c r="Y1160" s="161" t="s">
        <v>4133</v>
      </c>
      <c r="Z1160" s="161">
        <v>8.6999999999999993</v>
      </c>
      <c r="AA1160" s="161" t="s">
        <v>77</v>
      </c>
      <c r="AB1160" s="161" t="s">
        <v>114</v>
      </c>
      <c r="AC1160" s="266" t="str">
        <f>HYPERLINK("https://gcsvt.ru/svetodiodnyie-svetilniki/svt-arh-direct-900-77w-25-trio/","Ссылка")</f>
        <v>Ссылка</v>
      </c>
      <c r="AD1160" s="167">
        <v>43792</v>
      </c>
    </row>
    <row r="1161" spans="1:30" s="161" customFormat="1" ht="39.950000000000003" hidden="1" customHeight="1" outlineLevel="2" x14ac:dyDescent="0.25">
      <c r="A1161" s="6"/>
      <c r="B1161" s="21" t="s">
        <v>4069</v>
      </c>
      <c r="C1161" s="160" t="s">
        <v>4105</v>
      </c>
      <c r="D1161" s="161">
        <v>30160</v>
      </c>
      <c r="E1161" s="161">
        <v>232</v>
      </c>
      <c r="F1161" s="161">
        <v>130</v>
      </c>
      <c r="G1161" s="161" t="s">
        <v>4222</v>
      </c>
      <c r="H1161" s="161" t="s">
        <v>1577</v>
      </c>
      <c r="I1161" s="161">
        <v>67</v>
      </c>
      <c r="J1161" s="161" t="s">
        <v>105</v>
      </c>
      <c r="K1161" s="21" t="s">
        <v>106</v>
      </c>
      <c r="L1161" s="161" t="s">
        <v>3380</v>
      </c>
      <c r="M1161" s="21" t="s">
        <v>2107</v>
      </c>
      <c r="N1161" s="161" t="s">
        <v>67</v>
      </c>
      <c r="O1161" s="21" t="s">
        <v>3424</v>
      </c>
      <c r="P1161" s="161" t="s">
        <v>109</v>
      </c>
      <c r="Q1161" s="21" t="s">
        <v>70</v>
      </c>
      <c r="R1161" s="161">
        <v>70</v>
      </c>
      <c r="S1161" s="161" t="s">
        <v>3377</v>
      </c>
      <c r="T1161" s="161" t="s">
        <v>1139</v>
      </c>
      <c r="U1161" s="161" t="s">
        <v>73</v>
      </c>
      <c r="V1161" s="21" t="s">
        <v>74</v>
      </c>
      <c r="W1161" s="21" t="s">
        <v>75</v>
      </c>
      <c r="X1161" s="161" t="s">
        <v>4122</v>
      </c>
      <c r="Y1161" s="161" t="s">
        <v>4133</v>
      </c>
      <c r="Z1161" s="161">
        <v>8.6999999999999993</v>
      </c>
      <c r="AA1161" s="161" t="s">
        <v>77</v>
      </c>
      <c r="AB1161" s="161" t="s">
        <v>114</v>
      </c>
      <c r="AC1161" s="266" t="str">
        <f>HYPERLINK("https://gcsvt.ru/svetodiodnyie-svetilniki/svt-arh-direct-900-77w-45-trio/","Ссылка")</f>
        <v>Ссылка</v>
      </c>
      <c r="AD1161" s="167">
        <v>43792</v>
      </c>
    </row>
    <row r="1162" spans="1:30" s="161" customFormat="1" ht="39.950000000000003" hidden="1" customHeight="1" outlineLevel="2" x14ac:dyDescent="0.25">
      <c r="A1162" s="6"/>
      <c r="B1162" s="21" t="s">
        <v>4069</v>
      </c>
      <c r="C1162" s="160" t="s">
        <v>4106</v>
      </c>
      <c r="D1162" s="161">
        <v>40170</v>
      </c>
      <c r="E1162" s="161">
        <v>309</v>
      </c>
      <c r="F1162" s="161">
        <v>130</v>
      </c>
      <c r="G1162" s="161" t="s">
        <v>4223</v>
      </c>
      <c r="H1162" s="161" t="s">
        <v>3123</v>
      </c>
      <c r="I1162" s="161">
        <v>67</v>
      </c>
      <c r="J1162" s="161" t="s">
        <v>105</v>
      </c>
      <c r="K1162" s="21" t="s">
        <v>106</v>
      </c>
      <c r="L1162" s="161" t="s">
        <v>3380</v>
      </c>
      <c r="M1162" s="21" t="s">
        <v>2107</v>
      </c>
      <c r="N1162" s="161" t="s">
        <v>67</v>
      </c>
      <c r="O1162" s="21" t="s">
        <v>3424</v>
      </c>
      <c r="P1162" s="161" t="s">
        <v>109</v>
      </c>
      <c r="Q1162" s="21" t="s">
        <v>70</v>
      </c>
      <c r="R1162" s="161">
        <v>70</v>
      </c>
      <c r="S1162" s="161" t="s">
        <v>3377</v>
      </c>
      <c r="T1162" s="161" t="s">
        <v>1139</v>
      </c>
      <c r="U1162" s="161" t="s">
        <v>73</v>
      </c>
      <c r="V1162" s="21" t="s">
        <v>74</v>
      </c>
      <c r="W1162" s="21" t="s">
        <v>75</v>
      </c>
      <c r="X1162" s="161" t="s">
        <v>4127</v>
      </c>
      <c r="Y1162" s="161" t="s">
        <v>4132</v>
      </c>
      <c r="Z1162" s="161">
        <v>11.6</v>
      </c>
      <c r="AA1162" s="161" t="s">
        <v>77</v>
      </c>
      <c r="AB1162" s="161" t="s">
        <v>114</v>
      </c>
      <c r="AC1162" s="266" t="str">
        <f>HYPERLINK("https://gcsvt.ru/svetodiodnyie-svetilniki/svt-arh-direct-900-77w-8-quattro/","Ссылка")</f>
        <v>Ссылка</v>
      </c>
      <c r="AD1162" s="167">
        <v>60333</v>
      </c>
    </row>
    <row r="1163" spans="1:30" s="161" customFormat="1" ht="39.950000000000003" hidden="1" customHeight="1" outlineLevel="2" x14ac:dyDescent="0.25">
      <c r="A1163" s="6"/>
      <c r="B1163" s="21" t="s">
        <v>4069</v>
      </c>
      <c r="C1163" s="160" t="s">
        <v>4107</v>
      </c>
      <c r="D1163" s="161">
        <v>40170</v>
      </c>
      <c r="E1163" s="161">
        <v>309</v>
      </c>
      <c r="F1163" s="161">
        <v>130</v>
      </c>
      <c r="G1163" s="161" t="s">
        <v>4224</v>
      </c>
      <c r="H1163" s="161" t="s">
        <v>1805</v>
      </c>
      <c r="I1163" s="161">
        <v>67</v>
      </c>
      <c r="J1163" s="161" t="s">
        <v>105</v>
      </c>
      <c r="K1163" s="21" t="s">
        <v>106</v>
      </c>
      <c r="L1163" s="161" t="s">
        <v>3380</v>
      </c>
      <c r="M1163" s="21" t="s">
        <v>2107</v>
      </c>
      <c r="N1163" s="161" t="s">
        <v>67</v>
      </c>
      <c r="O1163" s="21" t="s">
        <v>3424</v>
      </c>
      <c r="P1163" s="161" t="s">
        <v>109</v>
      </c>
      <c r="Q1163" s="21" t="s">
        <v>70</v>
      </c>
      <c r="R1163" s="161">
        <v>70</v>
      </c>
      <c r="S1163" s="161" t="s">
        <v>3377</v>
      </c>
      <c r="T1163" s="161" t="s">
        <v>1139</v>
      </c>
      <c r="U1163" s="161" t="s">
        <v>73</v>
      </c>
      <c r="V1163" s="21" t="s">
        <v>74</v>
      </c>
      <c r="W1163" s="21" t="s">
        <v>75</v>
      </c>
      <c r="X1163" s="161" t="s">
        <v>4127</v>
      </c>
      <c r="Y1163" s="161" t="s">
        <v>4132</v>
      </c>
      <c r="Z1163" s="161">
        <v>11.6</v>
      </c>
      <c r="AA1163" s="161" t="s">
        <v>77</v>
      </c>
      <c r="AB1163" s="161" t="s">
        <v>114</v>
      </c>
      <c r="AC1163" s="266" t="str">
        <f>HYPERLINK("https://gcsvt.ru/svetodiodnyie-svetilniki/svt-arh-direct-900-77w-15-quattro/","Ссылка")</f>
        <v>Ссылка</v>
      </c>
      <c r="AD1163" s="167">
        <v>60333</v>
      </c>
    </row>
    <row r="1164" spans="1:30" s="161" customFormat="1" ht="39.950000000000003" hidden="1" customHeight="1" outlineLevel="2" x14ac:dyDescent="0.25">
      <c r="A1164" s="6"/>
      <c r="B1164" s="21" t="s">
        <v>4069</v>
      </c>
      <c r="C1164" s="160" t="s">
        <v>4108</v>
      </c>
      <c r="D1164" s="161">
        <v>40170</v>
      </c>
      <c r="E1164" s="161">
        <v>309</v>
      </c>
      <c r="F1164" s="161">
        <v>130</v>
      </c>
      <c r="G1164" s="161" t="s">
        <v>4225</v>
      </c>
      <c r="H1164" s="161" t="s">
        <v>1756</v>
      </c>
      <c r="I1164" s="161">
        <v>67</v>
      </c>
      <c r="J1164" s="161" t="s">
        <v>105</v>
      </c>
      <c r="K1164" s="21" t="s">
        <v>106</v>
      </c>
      <c r="L1164" s="161" t="s">
        <v>3380</v>
      </c>
      <c r="M1164" s="21" t="s">
        <v>2107</v>
      </c>
      <c r="N1164" s="161" t="s">
        <v>67</v>
      </c>
      <c r="O1164" s="21" t="s">
        <v>3424</v>
      </c>
      <c r="P1164" s="161" t="s">
        <v>109</v>
      </c>
      <c r="Q1164" s="21" t="s">
        <v>70</v>
      </c>
      <c r="R1164" s="161">
        <v>70</v>
      </c>
      <c r="S1164" s="161" t="s">
        <v>3377</v>
      </c>
      <c r="T1164" s="161" t="s">
        <v>1139</v>
      </c>
      <c r="U1164" s="161" t="s">
        <v>73</v>
      </c>
      <c r="V1164" s="21" t="s">
        <v>74</v>
      </c>
      <c r="W1164" s="21" t="s">
        <v>75</v>
      </c>
      <c r="X1164" s="161" t="s">
        <v>4127</v>
      </c>
      <c r="Y1164" s="161" t="s">
        <v>4132</v>
      </c>
      <c r="Z1164" s="161">
        <v>11.6</v>
      </c>
      <c r="AA1164" s="161" t="s">
        <v>77</v>
      </c>
      <c r="AB1164" s="161" t="s">
        <v>114</v>
      </c>
      <c r="AC1164" s="266" t="str">
        <f>HYPERLINK("https://gcsvt.ru/svetodiodnyie-svetilniki/svt-arh-direct-900-77w-25-quattro/","Ссылка")</f>
        <v>Ссылка</v>
      </c>
      <c r="AD1164" s="167">
        <v>60333</v>
      </c>
    </row>
    <row r="1165" spans="1:30" s="161" customFormat="1" ht="39.950000000000003" hidden="1" customHeight="1" outlineLevel="2" x14ac:dyDescent="0.25">
      <c r="A1165" s="6"/>
      <c r="B1165" s="21" t="s">
        <v>4069</v>
      </c>
      <c r="C1165" s="160" t="s">
        <v>4109</v>
      </c>
      <c r="D1165" s="161">
        <v>40170</v>
      </c>
      <c r="E1165" s="161">
        <v>309</v>
      </c>
      <c r="F1165" s="161">
        <v>130</v>
      </c>
      <c r="G1165" s="161" t="s">
        <v>4226</v>
      </c>
      <c r="H1165" s="161" t="s">
        <v>1577</v>
      </c>
      <c r="I1165" s="161">
        <v>67</v>
      </c>
      <c r="J1165" s="161" t="s">
        <v>105</v>
      </c>
      <c r="K1165" s="21" t="s">
        <v>106</v>
      </c>
      <c r="L1165" s="161" t="s">
        <v>3380</v>
      </c>
      <c r="M1165" s="21" t="s">
        <v>2107</v>
      </c>
      <c r="N1165" s="161" t="s">
        <v>67</v>
      </c>
      <c r="O1165" s="21" t="s">
        <v>3424</v>
      </c>
      <c r="P1165" s="161" t="s">
        <v>109</v>
      </c>
      <c r="Q1165" s="21" t="s">
        <v>70</v>
      </c>
      <c r="R1165" s="161">
        <v>70</v>
      </c>
      <c r="S1165" s="161" t="s">
        <v>3377</v>
      </c>
      <c r="T1165" s="161" t="s">
        <v>1139</v>
      </c>
      <c r="U1165" s="161" t="s">
        <v>73</v>
      </c>
      <c r="V1165" s="21" t="s">
        <v>74</v>
      </c>
      <c r="W1165" s="21" t="s">
        <v>75</v>
      </c>
      <c r="X1165" s="161" t="s">
        <v>4127</v>
      </c>
      <c r="Y1165" s="161" t="s">
        <v>4132</v>
      </c>
      <c r="Z1165" s="161">
        <v>11.6</v>
      </c>
      <c r="AA1165" s="161" t="s">
        <v>77</v>
      </c>
      <c r="AB1165" s="161" t="s">
        <v>114</v>
      </c>
      <c r="AC1165" s="266" t="str">
        <f>HYPERLINK("https://gcsvt.ru/svetodiodnyie-svetilniki/svt-arh-direct-900-77w-45-quattro/","Ссылка")</f>
        <v>Ссылка</v>
      </c>
      <c r="AD1165" s="167">
        <v>60333</v>
      </c>
    </row>
    <row r="1166" spans="1:30" s="161" customFormat="1" ht="39.950000000000003" customHeight="1" collapsed="1" x14ac:dyDescent="0.25">
      <c r="A1166" s="101"/>
      <c r="B1166" s="198" t="s">
        <v>4629</v>
      </c>
      <c r="C1166" s="202"/>
      <c r="D1166" s="163"/>
      <c r="E1166" s="163"/>
      <c r="F1166" s="163"/>
      <c r="G1166" s="163"/>
      <c r="H1166" s="163"/>
      <c r="I1166" s="163"/>
      <c r="J1166" s="163"/>
      <c r="K1166" s="75"/>
      <c r="L1166" s="163"/>
      <c r="M1166" s="75"/>
      <c r="N1166" s="163"/>
      <c r="O1166" s="75"/>
      <c r="P1166" s="163"/>
      <c r="Q1166" s="75"/>
      <c r="R1166" s="163"/>
      <c r="S1166" s="163"/>
      <c r="T1166" s="163"/>
      <c r="U1166" s="163"/>
      <c r="V1166" s="75"/>
      <c r="W1166" s="75"/>
      <c r="X1166" s="163"/>
      <c r="Y1166" s="163"/>
      <c r="Z1166" s="163"/>
      <c r="AA1166" s="163"/>
      <c r="AB1166" s="163"/>
      <c r="AC1166" s="227"/>
      <c r="AD1166" s="164"/>
    </row>
    <row r="1167" spans="1:30" s="161" customFormat="1" ht="39.950000000000003" hidden="1" customHeight="1" outlineLevel="1" x14ac:dyDescent="0.25">
      <c r="A1167" s="6"/>
      <c r="B1167" s="21" t="s">
        <v>3190</v>
      </c>
      <c r="C1167" s="159" t="s">
        <v>3191</v>
      </c>
      <c r="D1167" s="161">
        <v>1980</v>
      </c>
      <c r="E1167" s="161">
        <v>13</v>
      </c>
      <c r="F1167" s="167">
        <v>152</v>
      </c>
      <c r="G1167" s="161" t="s">
        <v>3205</v>
      </c>
      <c r="H1167" s="161" t="s">
        <v>3123</v>
      </c>
      <c r="I1167" s="161">
        <v>67</v>
      </c>
      <c r="J1167" s="161" t="s">
        <v>105</v>
      </c>
      <c r="K1167" s="21" t="s">
        <v>106</v>
      </c>
      <c r="L1167" s="161" t="s">
        <v>3380</v>
      </c>
      <c r="M1167" s="21" t="s">
        <v>3203</v>
      </c>
      <c r="N1167" s="161" t="s">
        <v>67</v>
      </c>
      <c r="O1167" s="21" t="s">
        <v>1800</v>
      </c>
      <c r="P1167" s="161" t="s">
        <v>109</v>
      </c>
      <c r="Q1167" s="21" t="s">
        <v>70</v>
      </c>
      <c r="R1167" s="161">
        <v>70</v>
      </c>
      <c r="S1167" s="161" t="s">
        <v>1779</v>
      </c>
      <c r="T1167" s="161" t="s">
        <v>1692</v>
      </c>
      <c r="U1167" s="161" t="s">
        <v>73</v>
      </c>
      <c r="V1167" s="21" t="s">
        <v>1801</v>
      </c>
      <c r="W1167" s="21" t="s">
        <v>75</v>
      </c>
      <c r="X1167" s="161" t="s">
        <v>3204</v>
      </c>
      <c r="Y1167" s="161">
        <v>2.1999999999999999E-2</v>
      </c>
      <c r="Z1167" s="161">
        <v>2</v>
      </c>
      <c r="AA1167" s="161" t="s">
        <v>77</v>
      </c>
      <c r="AB1167" s="161" t="s">
        <v>114</v>
      </c>
      <c r="AC1167" s="266" t="str">
        <f>HYPERLINK("https://gcsvt.ru/svetodiodnyie-svetilniki/svt-arh-cube-13w-8/","Ссылка")</f>
        <v>Ссылка</v>
      </c>
      <c r="AD1167" s="167">
        <v>17408</v>
      </c>
    </row>
    <row r="1168" spans="1:30" s="161" customFormat="1" ht="39.950000000000003" hidden="1" customHeight="1" outlineLevel="1" x14ac:dyDescent="0.25">
      <c r="A1168" s="6"/>
      <c r="B1168" s="21" t="s">
        <v>3190</v>
      </c>
      <c r="C1168" s="159" t="s">
        <v>3192</v>
      </c>
      <c r="D1168" s="161">
        <v>1980</v>
      </c>
      <c r="E1168" s="161">
        <v>13</v>
      </c>
      <c r="F1168" s="167">
        <v>152</v>
      </c>
      <c r="G1168" s="161" t="s">
        <v>3206</v>
      </c>
      <c r="H1168" s="161" t="s">
        <v>1805</v>
      </c>
      <c r="I1168" s="161">
        <v>67</v>
      </c>
      <c r="J1168" s="161" t="s">
        <v>105</v>
      </c>
      <c r="K1168" s="21" t="s">
        <v>106</v>
      </c>
      <c r="L1168" s="161" t="s">
        <v>3380</v>
      </c>
      <c r="M1168" s="21" t="s">
        <v>3203</v>
      </c>
      <c r="N1168" s="161" t="s">
        <v>67</v>
      </c>
      <c r="O1168" s="21" t="s">
        <v>1800</v>
      </c>
      <c r="P1168" s="161" t="s">
        <v>109</v>
      </c>
      <c r="Q1168" s="21" t="s">
        <v>70</v>
      </c>
      <c r="R1168" s="161">
        <v>70</v>
      </c>
      <c r="S1168" s="161" t="s">
        <v>1779</v>
      </c>
      <c r="T1168" s="161" t="s">
        <v>1692</v>
      </c>
      <c r="U1168" s="161" t="s">
        <v>73</v>
      </c>
      <c r="V1168" s="21" t="s">
        <v>1801</v>
      </c>
      <c r="W1168" s="21" t="s">
        <v>75</v>
      </c>
      <c r="X1168" s="161" t="s">
        <v>3204</v>
      </c>
      <c r="Y1168" s="161">
        <v>2.1999999999999999E-2</v>
      </c>
      <c r="Z1168" s="161">
        <v>2</v>
      </c>
      <c r="AA1168" s="161" t="s">
        <v>77</v>
      </c>
      <c r="AB1168" s="161" t="s">
        <v>114</v>
      </c>
      <c r="AC1168" s="266" t="str">
        <f>HYPERLINK("https://gcsvt.ru/svetodiodnyie-svetilniki/svt-arh-cube-13w-15/","Ссылка")</f>
        <v>Ссылка</v>
      </c>
      <c r="AD1168" s="167">
        <v>17408</v>
      </c>
    </row>
    <row r="1169" spans="1:30" s="161" customFormat="1" ht="39.950000000000003" hidden="1" customHeight="1" outlineLevel="1" x14ac:dyDescent="0.25">
      <c r="A1169" s="6"/>
      <c r="B1169" s="21" t="s">
        <v>3190</v>
      </c>
      <c r="C1169" s="159" t="s">
        <v>3193</v>
      </c>
      <c r="D1169" s="161">
        <v>1980</v>
      </c>
      <c r="E1169" s="161">
        <v>13</v>
      </c>
      <c r="F1169" s="167">
        <v>152</v>
      </c>
      <c r="G1169" s="161" t="s">
        <v>3207</v>
      </c>
      <c r="H1169" s="161" t="s">
        <v>1756</v>
      </c>
      <c r="I1169" s="161">
        <v>67</v>
      </c>
      <c r="J1169" s="161" t="s">
        <v>105</v>
      </c>
      <c r="K1169" s="21" t="s">
        <v>106</v>
      </c>
      <c r="L1169" s="161" t="s">
        <v>3380</v>
      </c>
      <c r="M1169" s="21" t="s">
        <v>3203</v>
      </c>
      <c r="N1169" s="161" t="s">
        <v>67</v>
      </c>
      <c r="O1169" s="21" t="s">
        <v>1800</v>
      </c>
      <c r="P1169" s="161" t="s">
        <v>109</v>
      </c>
      <c r="Q1169" s="21" t="s">
        <v>70</v>
      </c>
      <c r="R1169" s="161">
        <v>70</v>
      </c>
      <c r="S1169" s="161" t="s">
        <v>1779</v>
      </c>
      <c r="T1169" s="161" t="s">
        <v>1692</v>
      </c>
      <c r="U1169" s="161" t="s">
        <v>73</v>
      </c>
      <c r="V1169" s="21" t="s">
        <v>1801</v>
      </c>
      <c r="W1169" s="21" t="s">
        <v>75</v>
      </c>
      <c r="X1169" s="161" t="s">
        <v>3204</v>
      </c>
      <c r="Y1169" s="161">
        <v>2.1999999999999999E-2</v>
      </c>
      <c r="Z1169" s="161">
        <v>2</v>
      </c>
      <c r="AA1169" s="161" t="s">
        <v>77</v>
      </c>
      <c r="AB1169" s="161" t="s">
        <v>114</v>
      </c>
      <c r="AC1169" s="266" t="str">
        <f>HYPERLINK("https://gcsvt.ru/svetodiodnyie-svetilniki/svt-arh-cube-13w-25/","Ссылка")</f>
        <v>Ссылка</v>
      </c>
      <c r="AD1169" s="167">
        <v>17408</v>
      </c>
    </row>
    <row r="1170" spans="1:30" s="161" customFormat="1" ht="39.950000000000003" hidden="1" customHeight="1" outlineLevel="1" x14ac:dyDescent="0.25">
      <c r="A1170" s="6"/>
      <c r="B1170" s="21" t="s">
        <v>3190</v>
      </c>
      <c r="C1170" s="159" t="s">
        <v>3194</v>
      </c>
      <c r="D1170" s="161">
        <v>1980</v>
      </c>
      <c r="E1170" s="161">
        <v>13</v>
      </c>
      <c r="F1170" s="167">
        <v>152</v>
      </c>
      <c r="G1170" s="161" t="s">
        <v>3208</v>
      </c>
      <c r="H1170" s="161" t="s">
        <v>1577</v>
      </c>
      <c r="I1170" s="161">
        <v>67</v>
      </c>
      <c r="J1170" s="161" t="s">
        <v>105</v>
      </c>
      <c r="K1170" s="21" t="s">
        <v>106</v>
      </c>
      <c r="L1170" s="161" t="s">
        <v>3380</v>
      </c>
      <c r="M1170" s="21" t="s">
        <v>3203</v>
      </c>
      <c r="N1170" s="161" t="s">
        <v>67</v>
      </c>
      <c r="O1170" s="21" t="s">
        <v>1800</v>
      </c>
      <c r="P1170" s="161" t="s">
        <v>109</v>
      </c>
      <c r="Q1170" s="21" t="s">
        <v>70</v>
      </c>
      <c r="R1170" s="161">
        <v>70</v>
      </c>
      <c r="S1170" s="161" t="s">
        <v>1779</v>
      </c>
      <c r="T1170" s="161" t="s">
        <v>1692</v>
      </c>
      <c r="U1170" s="161" t="s">
        <v>73</v>
      </c>
      <c r="V1170" s="21" t="s">
        <v>1801</v>
      </c>
      <c r="W1170" s="21" t="s">
        <v>75</v>
      </c>
      <c r="X1170" s="161" t="s">
        <v>3204</v>
      </c>
      <c r="Y1170" s="161">
        <v>2.1999999999999999E-2</v>
      </c>
      <c r="Z1170" s="161">
        <v>2</v>
      </c>
      <c r="AA1170" s="161" t="s">
        <v>77</v>
      </c>
      <c r="AB1170" s="161" t="s">
        <v>114</v>
      </c>
      <c r="AC1170" s="266" t="str">
        <f>HYPERLINK("https://gcsvt.ru/svetodiodnyie-svetilniki/svt-arh-cube-13w-45/","Ссылка")</f>
        <v>Ссылка</v>
      </c>
      <c r="AD1170" s="167">
        <v>17408</v>
      </c>
    </row>
    <row r="1171" spans="1:30" s="161" customFormat="1" ht="39.950000000000003" hidden="1" customHeight="1" outlineLevel="1" x14ac:dyDescent="0.25">
      <c r="A1171" s="6"/>
      <c r="B1171" s="21" t="s">
        <v>3190</v>
      </c>
      <c r="C1171" s="159" t="s">
        <v>3195</v>
      </c>
      <c r="D1171" s="161">
        <v>3750</v>
      </c>
      <c r="E1171" s="161">
        <v>25</v>
      </c>
      <c r="F1171" s="161">
        <v>150</v>
      </c>
      <c r="G1171" s="161" t="s">
        <v>3209</v>
      </c>
      <c r="H1171" s="161" t="s">
        <v>3123</v>
      </c>
      <c r="I1171" s="161">
        <v>67</v>
      </c>
      <c r="J1171" s="161" t="s">
        <v>105</v>
      </c>
      <c r="K1171" s="21" t="s">
        <v>106</v>
      </c>
      <c r="L1171" s="161" t="s">
        <v>3380</v>
      </c>
      <c r="M1171" s="21" t="s">
        <v>3203</v>
      </c>
      <c r="N1171" s="161" t="s">
        <v>67</v>
      </c>
      <c r="O1171" s="21" t="s">
        <v>1800</v>
      </c>
      <c r="P1171" s="161" t="s">
        <v>109</v>
      </c>
      <c r="Q1171" s="21" t="s">
        <v>70</v>
      </c>
      <c r="R1171" s="161">
        <v>70</v>
      </c>
      <c r="S1171" s="161" t="s">
        <v>1779</v>
      </c>
      <c r="T1171" s="161" t="s">
        <v>174</v>
      </c>
      <c r="U1171" s="161" t="s">
        <v>73</v>
      </c>
      <c r="V1171" s="21" t="s">
        <v>1801</v>
      </c>
      <c r="W1171" s="21" t="s">
        <v>75</v>
      </c>
      <c r="X1171" s="161" t="s">
        <v>3204</v>
      </c>
      <c r="Y1171" s="161">
        <v>2.1999999999999999E-2</v>
      </c>
      <c r="Z1171" s="161">
        <v>2</v>
      </c>
      <c r="AA1171" s="161" t="s">
        <v>77</v>
      </c>
      <c r="AB1171" s="161" t="s">
        <v>114</v>
      </c>
      <c r="AC1171" s="266" t="str">
        <f>HYPERLINK("https://gcsvt.ru/svetodiodnyie-svetilniki/svt-arh-cube-25w-8/","Ссылка")</f>
        <v>Ссылка</v>
      </c>
      <c r="AD1171" s="167">
        <v>17408</v>
      </c>
    </row>
    <row r="1172" spans="1:30" s="161" customFormat="1" ht="39.950000000000003" hidden="1" customHeight="1" outlineLevel="1" x14ac:dyDescent="0.25">
      <c r="A1172" s="6"/>
      <c r="B1172" s="21" t="s">
        <v>3190</v>
      </c>
      <c r="C1172" s="159" t="s">
        <v>3196</v>
      </c>
      <c r="D1172" s="161">
        <v>3750</v>
      </c>
      <c r="E1172" s="161">
        <v>25</v>
      </c>
      <c r="F1172" s="161">
        <v>150</v>
      </c>
      <c r="G1172" s="161" t="s">
        <v>3210</v>
      </c>
      <c r="H1172" s="161" t="s">
        <v>1805</v>
      </c>
      <c r="I1172" s="161">
        <v>67</v>
      </c>
      <c r="J1172" s="161" t="s">
        <v>105</v>
      </c>
      <c r="K1172" s="21" t="s">
        <v>106</v>
      </c>
      <c r="L1172" s="161" t="s">
        <v>3380</v>
      </c>
      <c r="M1172" s="21" t="s">
        <v>3203</v>
      </c>
      <c r="N1172" s="161" t="s">
        <v>67</v>
      </c>
      <c r="O1172" s="21" t="s">
        <v>1800</v>
      </c>
      <c r="P1172" s="161" t="s">
        <v>109</v>
      </c>
      <c r="Q1172" s="21" t="s">
        <v>70</v>
      </c>
      <c r="R1172" s="161">
        <v>70</v>
      </c>
      <c r="S1172" s="161" t="s">
        <v>1779</v>
      </c>
      <c r="T1172" s="161" t="s">
        <v>174</v>
      </c>
      <c r="U1172" s="161" t="s">
        <v>73</v>
      </c>
      <c r="V1172" s="21" t="s">
        <v>1801</v>
      </c>
      <c r="W1172" s="21" t="s">
        <v>75</v>
      </c>
      <c r="X1172" s="161" t="s">
        <v>3204</v>
      </c>
      <c r="Y1172" s="161">
        <v>2.1999999999999999E-2</v>
      </c>
      <c r="Z1172" s="161">
        <v>2</v>
      </c>
      <c r="AA1172" s="161" t="s">
        <v>77</v>
      </c>
      <c r="AB1172" s="161" t="s">
        <v>114</v>
      </c>
      <c r="AC1172" s="266" t="str">
        <f>HYPERLINK("https://gcsvt.ru/svetodiodnyie-svetilniki/svt-arh-cube-25w-15/","Ссылка")</f>
        <v>Ссылка</v>
      </c>
      <c r="AD1172" s="167">
        <v>17408</v>
      </c>
    </row>
    <row r="1173" spans="1:30" s="161" customFormat="1" ht="39.950000000000003" hidden="1" customHeight="1" outlineLevel="1" x14ac:dyDescent="0.25">
      <c r="A1173" s="6"/>
      <c r="B1173" s="21" t="s">
        <v>3190</v>
      </c>
      <c r="C1173" s="159" t="s">
        <v>3197</v>
      </c>
      <c r="D1173" s="161">
        <v>3750</v>
      </c>
      <c r="E1173" s="161">
        <v>25</v>
      </c>
      <c r="F1173" s="161">
        <v>150</v>
      </c>
      <c r="G1173" s="161" t="s">
        <v>3211</v>
      </c>
      <c r="H1173" s="161" t="s">
        <v>1756</v>
      </c>
      <c r="I1173" s="161">
        <v>67</v>
      </c>
      <c r="J1173" s="161" t="s">
        <v>105</v>
      </c>
      <c r="K1173" s="21" t="s">
        <v>106</v>
      </c>
      <c r="L1173" s="161" t="s">
        <v>3380</v>
      </c>
      <c r="M1173" s="21" t="s">
        <v>3203</v>
      </c>
      <c r="N1173" s="161" t="s">
        <v>67</v>
      </c>
      <c r="O1173" s="21" t="s">
        <v>1800</v>
      </c>
      <c r="P1173" s="161" t="s">
        <v>109</v>
      </c>
      <c r="Q1173" s="21" t="s">
        <v>70</v>
      </c>
      <c r="R1173" s="161">
        <v>70</v>
      </c>
      <c r="S1173" s="161" t="s">
        <v>1779</v>
      </c>
      <c r="T1173" s="161" t="s">
        <v>174</v>
      </c>
      <c r="U1173" s="161" t="s">
        <v>73</v>
      </c>
      <c r="V1173" s="21" t="s">
        <v>1801</v>
      </c>
      <c r="W1173" s="21" t="s">
        <v>75</v>
      </c>
      <c r="X1173" s="161" t="s">
        <v>3204</v>
      </c>
      <c r="Y1173" s="161">
        <v>2.1999999999999999E-2</v>
      </c>
      <c r="Z1173" s="161">
        <v>2</v>
      </c>
      <c r="AA1173" s="161" t="s">
        <v>77</v>
      </c>
      <c r="AB1173" s="161" t="s">
        <v>114</v>
      </c>
      <c r="AC1173" s="266" t="str">
        <f>HYPERLINK("https://gcsvt.ru/svetodiodnyie-svetilniki/svt-arh-cube-25w-25/","Ссылка")</f>
        <v>Ссылка</v>
      </c>
      <c r="AD1173" s="167">
        <v>17408</v>
      </c>
    </row>
    <row r="1174" spans="1:30" s="161" customFormat="1" ht="39.950000000000003" hidden="1" customHeight="1" outlineLevel="1" x14ac:dyDescent="0.25">
      <c r="A1174" s="6"/>
      <c r="B1174" s="21" t="s">
        <v>3190</v>
      </c>
      <c r="C1174" s="159" t="s">
        <v>3198</v>
      </c>
      <c r="D1174" s="161">
        <v>3750</v>
      </c>
      <c r="E1174" s="161">
        <v>25</v>
      </c>
      <c r="F1174" s="161">
        <v>150</v>
      </c>
      <c r="G1174" s="161" t="s">
        <v>3212</v>
      </c>
      <c r="H1174" s="161" t="s">
        <v>1577</v>
      </c>
      <c r="I1174" s="161">
        <v>67</v>
      </c>
      <c r="J1174" s="161" t="s">
        <v>105</v>
      </c>
      <c r="K1174" s="21" t="s">
        <v>106</v>
      </c>
      <c r="L1174" s="161" t="s">
        <v>3380</v>
      </c>
      <c r="M1174" s="21" t="s">
        <v>3203</v>
      </c>
      <c r="N1174" s="161" t="s">
        <v>67</v>
      </c>
      <c r="O1174" s="21" t="s">
        <v>1800</v>
      </c>
      <c r="P1174" s="161" t="s">
        <v>109</v>
      </c>
      <c r="Q1174" s="21" t="s">
        <v>70</v>
      </c>
      <c r="R1174" s="161">
        <v>70</v>
      </c>
      <c r="S1174" s="161" t="s">
        <v>1779</v>
      </c>
      <c r="T1174" s="161" t="s">
        <v>174</v>
      </c>
      <c r="U1174" s="161" t="s">
        <v>73</v>
      </c>
      <c r="V1174" s="21" t="s">
        <v>1801</v>
      </c>
      <c r="W1174" s="21" t="s">
        <v>75</v>
      </c>
      <c r="X1174" s="161" t="s">
        <v>3204</v>
      </c>
      <c r="Y1174" s="161">
        <v>2.1999999999999999E-2</v>
      </c>
      <c r="Z1174" s="161">
        <v>2</v>
      </c>
      <c r="AA1174" s="161" t="s">
        <v>77</v>
      </c>
      <c r="AB1174" s="161" t="s">
        <v>114</v>
      </c>
      <c r="AC1174" s="266" t="str">
        <f>HYPERLINK("https://gcsvt.ru/svetodiodnyie-svetilniki/svt-arh-cube-25w-45/","Ссылка")</f>
        <v>Ссылка</v>
      </c>
      <c r="AD1174" s="167">
        <v>17408</v>
      </c>
    </row>
    <row r="1175" spans="1:30" s="161" customFormat="1" ht="39.950000000000003" hidden="1" customHeight="1" outlineLevel="1" x14ac:dyDescent="0.25">
      <c r="A1175" s="6"/>
      <c r="B1175" s="21" t="s">
        <v>3190</v>
      </c>
      <c r="C1175" s="159" t="s">
        <v>3199</v>
      </c>
      <c r="D1175" s="161">
        <v>5360</v>
      </c>
      <c r="E1175" s="161">
        <v>40</v>
      </c>
      <c r="F1175" s="161">
        <v>134</v>
      </c>
      <c r="G1175" s="161" t="s">
        <v>3213</v>
      </c>
      <c r="H1175" s="161" t="s">
        <v>3123</v>
      </c>
      <c r="I1175" s="161">
        <v>67</v>
      </c>
      <c r="J1175" s="161" t="s">
        <v>105</v>
      </c>
      <c r="K1175" s="21" t="s">
        <v>106</v>
      </c>
      <c r="L1175" s="161" t="s">
        <v>3380</v>
      </c>
      <c r="M1175" s="21" t="s">
        <v>3203</v>
      </c>
      <c r="N1175" s="161" t="s">
        <v>67</v>
      </c>
      <c r="O1175" s="21" t="s">
        <v>1800</v>
      </c>
      <c r="P1175" s="161" t="s">
        <v>109</v>
      </c>
      <c r="Q1175" s="21" t="s">
        <v>70</v>
      </c>
      <c r="R1175" s="161">
        <v>70</v>
      </c>
      <c r="S1175" s="161" t="s">
        <v>1779</v>
      </c>
      <c r="T1175" s="161" t="s">
        <v>390</v>
      </c>
      <c r="U1175" s="161" t="s">
        <v>73</v>
      </c>
      <c r="V1175" s="21" t="s">
        <v>1801</v>
      </c>
      <c r="W1175" s="21" t="s">
        <v>75</v>
      </c>
      <c r="X1175" s="161" t="s">
        <v>3204</v>
      </c>
      <c r="Y1175" s="161">
        <v>2.1999999999999999E-2</v>
      </c>
      <c r="Z1175" s="161">
        <v>2</v>
      </c>
      <c r="AA1175" s="161" t="s">
        <v>77</v>
      </c>
      <c r="AB1175" s="161" t="s">
        <v>114</v>
      </c>
      <c r="AC1175" s="266" t="str">
        <f>HYPERLINK("https://gcsvt.ru/svetodiodnyie-svetilniki/svt-arh-cube-40w-8/","Ссылка")</f>
        <v>Ссылка</v>
      </c>
      <c r="AD1175" s="167">
        <v>17408</v>
      </c>
    </row>
    <row r="1176" spans="1:30" s="161" customFormat="1" ht="39.950000000000003" hidden="1" customHeight="1" outlineLevel="1" x14ac:dyDescent="0.25">
      <c r="A1176" s="6"/>
      <c r="B1176" s="21" t="s">
        <v>3190</v>
      </c>
      <c r="C1176" s="159" t="s">
        <v>3200</v>
      </c>
      <c r="D1176" s="161">
        <v>5360</v>
      </c>
      <c r="E1176" s="161">
        <v>40</v>
      </c>
      <c r="F1176" s="161">
        <v>134</v>
      </c>
      <c r="G1176" s="161" t="s">
        <v>3214</v>
      </c>
      <c r="H1176" s="161" t="s">
        <v>1805</v>
      </c>
      <c r="I1176" s="161">
        <v>67</v>
      </c>
      <c r="J1176" s="161" t="s">
        <v>105</v>
      </c>
      <c r="K1176" s="21" t="s">
        <v>106</v>
      </c>
      <c r="L1176" s="161" t="s">
        <v>3380</v>
      </c>
      <c r="M1176" s="21" t="s">
        <v>3203</v>
      </c>
      <c r="N1176" s="161" t="s">
        <v>67</v>
      </c>
      <c r="O1176" s="21" t="s">
        <v>1800</v>
      </c>
      <c r="P1176" s="161" t="s">
        <v>109</v>
      </c>
      <c r="Q1176" s="21" t="s">
        <v>70</v>
      </c>
      <c r="R1176" s="161">
        <v>70</v>
      </c>
      <c r="S1176" s="161" t="s">
        <v>1779</v>
      </c>
      <c r="T1176" s="161" t="s">
        <v>390</v>
      </c>
      <c r="U1176" s="161" t="s">
        <v>73</v>
      </c>
      <c r="V1176" s="21" t="s">
        <v>1801</v>
      </c>
      <c r="W1176" s="21" t="s">
        <v>75</v>
      </c>
      <c r="X1176" s="161" t="s">
        <v>3204</v>
      </c>
      <c r="Y1176" s="161">
        <v>2.1999999999999999E-2</v>
      </c>
      <c r="Z1176" s="161">
        <v>2</v>
      </c>
      <c r="AA1176" s="161" t="s">
        <v>77</v>
      </c>
      <c r="AB1176" s="161" t="s">
        <v>114</v>
      </c>
      <c r="AC1176" s="266" t="str">
        <f>HYPERLINK("https://gcsvt.ru/svetodiodnyie-svetilniki/svt-arh-cube-40w-15/","Ссылка")</f>
        <v>Ссылка</v>
      </c>
      <c r="AD1176" s="167">
        <v>17408</v>
      </c>
    </row>
    <row r="1177" spans="1:30" s="161" customFormat="1" ht="39.950000000000003" hidden="1" customHeight="1" outlineLevel="1" x14ac:dyDescent="0.25">
      <c r="A1177" s="6"/>
      <c r="B1177" s="21" t="s">
        <v>3190</v>
      </c>
      <c r="C1177" s="159" t="s">
        <v>3201</v>
      </c>
      <c r="D1177" s="161">
        <v>5360</v>
      </c>
      <c r="E1177" s="161">
        <v>40</v>
      </c>
      <c r="F1177" s="161">
        <v>134</v>
      </c>
      <c r="G1177" s="161" t="s">
        <v>3215</v>
      </c>
      <c r="H1177" s="161" t="s">
        <v>1756</v>
      </c>
      <c r="I1177" s="161">
        <v>67</v>
      </c>
      <c r="J1177" s="161" t="s">
        <v>105</v>
      </c>
      <c r="K1177" s="21" t="s">
        <v>106</v>
      </c>
      <c r="L1177" s="161" t="s">
        <v>3380</v>
      </c>
      <c r="M1177" s="21" t="s">
        <v>3203</v>
      </c>
      <c r="N1177" s="161" t="s">
        <v>67</v>
      </c>
      <c r="O1177" s="21" t="s">
        <v>1800</v>
      </c>
      <c r="P1177" s="161" t="s">
        <v>109</v>
      </c>
      <c r="Q1177" s="21" t="s">
        <v>70</v>
      </c>
      <c r="R1177" s="161">
        <v>70</v>
      </c>
      <c r="S1177" s="161" t="s">
        <v>1779</v>
      </c>
      <c r="T1177" s="161" t="s">
        <v>390</v>
      </c>
      <c r="U1177" s="161" t="s">
        <v>73</v>
      </c>
      <c r="V1177" s="21" t="s">
        <v>1801</v>
      </c>
      <c r="W1177" s="21" t="s">
        <v>75</v>
      </c>
      <c r="X1177" s="161" t="s">
        <v>3204</v>
      </c>
      <c r="Y1177" s="161">
        <v>2.1999999999999999E-2</v>
      </c>
      <c r="Z1177" s="161">
        <v>2</v>
      </c>
      <c r="AA1177" s="161" t="s">
        <v>77</v>
      </c>
      <c r="AB1177" s="161" t="s">
        <v>114</v>
      </c>
      <c r="AC1177" s="266" t="str">
        <f>HYPERLINK("https://gcsvt.ru/svetodiodnyie-svetilniki/svt-arh-cube-40w-25/","Ссылка")</f>
        <v>Ссылка</v>
      </c>
      <c r="AD1177" s="167">
        <v>17408</v>
      </c>
    </row>
    <row r="1178" spans="1:30" s="161" customFormat="1" ht="39.950000000000003" hidden="1" customHeight="1" outlineLevel="1" x14ac:dyDescent="0.25">
      <c r="A1178" s="6"/>
      <c r="B1178" s="21" t="s">
        <v>3190</v>
      </c>
      <c r="C1178" s="159" t="s">
        <v>3202</v>
      </c>
      <c r="D1178" s="161">
        <v>5360</v>
      </c>
      <c r="E1178" s="161">
        <v>40</v>
      </c>
      <c r="F1178" s="161">
        <v>134</v>
      </c>
      <c r="G1178" s="161" t="s">
        <v>3216</v>
      </c>
      <c r="H1178" s="161" t="s">
        <v>1577</v>
      </c>
      <c r="I1178" s="161">
        <v>67</v>
      </c>
      <c r="J1178" s="161" t="s">
        <v>105</v>
      </c>
      <c r="K1178" s="21" t="s">
        <v>106</v>
      </c>
      <c r="L1178" s="161" t="s">
        <v>3380</v>
      </c>
      <c r="M1178" s="21" t="s">
        <v>3203</v>
      </c>
      <c r="N1178" s="161" t="s">
        <v>67</v>
      </c>
      <c r="O1178" s="21" t="s">
        <v>1800</v>
      </c>
      <c r="P1178" s="161" t="s">
        <v>109</v>
      </c>
      <c r="Q1178" s="21" t="s">
        <v>70</v>
      </c>
      <c r="R1178" s="161">
        <v>70</v>
      </c>
      <c r="S1178" s="161" t="s">
        <v>1779</v>
      </c>
      <c r="T1178" s="161" t="s">
        <v>390</v>
      </c>
      <c r="U1178" s="161" t="s">
        <v>73</v>
      </c>
      <c r="V1178" s="21" t="s">
        <v>1801</v>
      </c>
      <c r="W1178" s="21" t="s">
        <v>75</v>
      </c>
      <c r="X1178" s="161" t="s">
        <v>3204</v>
      </c>
      <c r="Y1178" s="161">
        <v>2.1999999999999999E-2</v>
      </c>
      <c r="Z1178" s="161">
        <v>2</v>
      </c>
      <c r="AA1178" s="161" t="s">
        <v>77</v>
      </c>
      <c r="AB1178" s="161" t="s">
        <v>114</v>
      </c>
      <c r="AC1178" s="266" t="str">
        <f>HYPERLINK("https://gcsvt.ru/svetodiodnyie-svetilniki/svt-arh-cube-40w-45/","Ссылка")</f>
        <v>Ссылка</v>
      </c>
      <c r="AD1178" s="167">
        <v>17408</v>
      </c>
    </row>
    <row r="1179" spans="1:30" s="161" customFormat="1" ht="39.950000000000003" customHeight="1" collapsed="1" x14ac:dyDescent="0.25">
      <c r="A1179" s="165"/>
      <c r="B1179" s="195" t="s">
        <v>4462</v>
      </c>
      <c r="C1179" s="202"/>
      <c r="D1179" s="163"/>
      <c r="E1179" s="163"/>
      <c r="F1179" s="163"/>
      <c r="G1179" s="163"/>
      <c r="H1179" s="163"/>
      <c r="I1179" s="163"/>
      <c r="J1179" s="163"/>
      <c r="K1179" s="75"/>
      <c r="L1179" s="163"/>
      <c r="M1179" s="75"/>
      <c r="N1179" s="163"/>
      <c r="O1179" s="75"/>
      <c r="P1179" s="163"/>
      <c r="Q1179" s="75"/>
      <c r="R1179" s="163"/>
      <c r="S1179" s="163"/>
      <c r="T1179" s="163"/>
      <c r="U1179" s="163"/>
      <c r="V1179" s="75"/>
      <c r="W1179" s="75"/>
      <c r="X1179" s="163"/>
      <c r="Y1179" s="163"/>
      <c r="Z1179" s="163"/>
      <c r="AA1179" s="163"/>
      <c r="AB1179" s="163"/>
      <c r="AC1179" s="227"/>
      <c r="AD1179" s="164"/>
    </row>
    <row r="1180" spans="1:30" s="161" customFormat="1" ht="39.950000000000003" hidden="1" customHeight="1" outlineLevel="1" x14ac:dyDescent="0.25">
      <c r="A1180" s="21"/>
      <c r="B1180" s="21" t="s">
        <v>1873</v>
      </c>
      <c r="C1180" s="159" t="s">
        <v>1874</v>
      </c>
      <c r="D1180" s="161">
        <v>4320</v>
      </c>
      <c r="E1180" s="161">
        <v>36</v>
      </c>
      <c r="F1180" s="161">
        <v>120</v>
      </c>
      <c r="G1180" s="161" t="s">
        <v>1875</v>
      </c>
      <c r="H1180" s="161" t="s">
        <v>138</v>
      </c>
      <c r="I1180" s="161">
        <v>67</v>
      </c>
      <c r="J1180" s="161" t="s">
        <v>389</v>
      </c>
      <c r="K1180" s="21" t="s">
        <v>1876</v>
      </c>
      <c r="L1180" s="161" t="s">
        <v>59</v>
      </c>
      <c r="M1180" s="21" t="s">
        <v>59</v>
      </c>
      <c r="N1180" s="161" t="s">
        <v>59</v>
      </c>
      <c r="O1180" s="21" t="s">
        <v>1851</v>
      </c>
      <c r="P1180" s="161" t="s">
        <v>109</v>
      </c>
      <c r="Q1180" s="21" t="s">
        <v>70</v>
      </c>
      <c r="R1180" s="161">
        <v>70</v>
      </c>
      <c r="S1180" s="161" t="s">
        <v>1816</v>
      </c>
      <c r="T1180" s="161" t="s">
        <v>174</v>
      </c>
      <c r="U1180" s="161" t="s">
        <v>73</v>
      </c>
      <c r="V1180" s="21" t="s">
        <v>1801</v>
      </c>
      <c r="W1180" s="21" t="s">
        <v>1817</v>
      </c>
      <c r="X1180" s="161" t="s">
        <v>1877</v>
      </c>
      <c r="Y1180" s="161">
        <v>0.01</v>
      </c>
      <c r="Z1180" s="161">
        <v>1.5</v>
      </c>
      <c r="AA1180" s="161" t="s">
        <v>77</v>
      </c>
      <c r="AB1180" s="161" t="s">
        <v>114</v>
      </c>
      <c r="AC1180" s="266" t="str">
        <f>HYPERLINK("https://gcsvt.ru/svetodiodnyie-svetilniki/svt-arh-luch-1010-36w-120-24v-dc-kr/","Ссылка")</f>
        <v>Ссылка</v>
      </c>
      <c r="AD1180" s="167">
        <v>12325</v>
      </c>
    </row>
    <row r="1181" spans="1:30" s="161" customFormat="1" ht="39.950000000000003" hidden="1" customHeight="1" outlineLevel="1" x14ac:dyDescent="0.25">
      <c r="A1181" s="21"/>
      <c r="B1181" s="21" t="s">
        <v>1873</v>
      </c>
      <c r="C1181" s="159" t="s">
        <v>1878</v>
      </c>
      <c r="D1181" s="161">
        <v>4320</v>
      </c>
      <c r="E1181" s="161">
        <v>36</v>
      </c>
      <c r="F1181" s="161">
        <v>120</v>
      </c>
      <c r="G1181" s="161" t="s">
        <v>1879</v>
      </c>
      <c r="H1181" s="161" t="s">
        <v>1805</v>
      </c>
      <c r="I1181" s="161">
        <v>67</v>
      </c>
      <c r="J1181" s="161" t="s">
        <v>389</v>
      </c>
      <c r="K1181" s="21" t="s">
        <v>1876</v>
      </c>
      <c r="L1181" s="161" t="s">
        <v>59</v>
      </c>
      <c r="M1181" s="21" t="s">
        <v>59</v>
      </c>
      <c r="N1181" s="161" t="s">
        <v>59</v>
      </c>
      <c r="O1181" s="21" t="s">
        <v>1800</v>
      </c>
      <c r="P1181" s="161" t="s">
        <v>109</v>
      </c>
      <c r="Q1181" s="21" t="s">
        <v>70</v>
      </c>
      <c r="R1181" s="161">
        <v>70</v>
      </c>
      <c r="S1181" s="161" t="s">
        <v>1816</v>
      </c>
      <c r="T1181" s="161" t="s">
        <v>174</v>
      </c>
      <c r="U1181" s="161" t="s">
        <v>73</v>
      </c>
      <c r="V1181" s="21" t="s">
        <v>1801</v>
      </c>
      <c r="W1181" s="21" t="s">
        <v>1817</v>
      </c>
      <c r="X1181" s="161" t="s">
        <v>1877</v>
      </c>
      <c r="Y1181" s="161">
        <v>0.01</v>
      </c>
      <c r="Z1181" s="161">
        <v>1.5</v>
      </c>
      <c r="AA1181" s="161" t="s">
        <v>77</v>
      </c>
      <c r="AB1181" s="161" t="s">
        <v>114</v>
      </c>
      <c r="AC1181" s="266" t="str">
        <f>HYPERLINK("https://gcsvt.ru/svetodiodnyie-svetilniki/svt-arh-luch-1010-36w-15-24v-dc-kr/","Ссылка")</f>
        <v>Ссылка</v>
      </c>
      <c r="AD1181" s="167">
        <v>15194</v>
      </c>
    </row>
    <row r="1182" spans="1:30" s="161" customFormat="1" ht="39.950000000000003" hidden="1" customHeight="1" outlineLevel="1" x14ac:dyDescent="0.25">
      <c r="A1182" s="21"/>
      <c r="B1182" s="21" t="s">
        <v>1873</v>
      </c>
      <c r="C1182" s="159" t="s">
        <v>1880</v>
      </c>
      <c r="D1182" s="161">
        <v>4320</v>
      </c>
      <c r="E1182" s="161">
        <v>36</v>
      </c>
      <c r="F1182" s="161">
        <v>120</v>
      </c>
      <c r="G1182" s="161" t="s">
        <v>1881</v>
      </c>
      <c r="H1182" s="161" t="s">
        <v>1756</v>
      </c>
      <c r="I1182" s="161">
        <v>67</v>
      </c>
      <c r="J1182" s="161" t="s">
        <v>389</v>
      </c>
      <c r="K1182" s="21" t="s">
        <v>1876</v>
      </c>
      <c r="L1182" s="161" t="s">
        <v>59</v>
      </c>
      <c r="M1182" s="21" t="s">
        <v>59</v>
      </c>
      <c r="N1182" s="161" t="s">
        <v>59</v>
      </c>
      <c r="O1182" s="21" t="s">
        <v>1800</v>
      </c>
      <c r="P1182" s="161" t="s">
        <v>109</v>
      </c>
      <c r="Q1182" s="21" t="s">
        <v>70</v>
      </c>
      <c r="R1182" s="161">
        <v>70</v>
      </c>
      <c r="S1182" s="161" t="s">
        <v>1816</v>
      </c>
      <c r="T1182" s="161" t="s">
        <v>174</v>
      </c>
      <c r="U1182" s="161" t="s">
        <v>73</v>
      </c>
      <c r="V1182" s="21" t="s">
        <v>1801</v>
      </c>
      <c r="W1182" s="21" t="s">
        <v>1817</v>
      </c>
      <c r="X1182" s="161" t="s">
        <v>1877</v>
      </c>
      <c r="Y1182" s="161">
        <v>0.01</v>
      </c>
      <c r="Z1182" s="161">
        <v>1.5</v>
      </c>
      <c r="AA1182" s="161" t="s">
        <v>77</v>
      </c>
      <c r="AB1182" s="161" t="s">
        <v>114</v>
      </c>
      <c r="AC1182" s="266" t="str">
        <f>HYPERLINK("https://gcsvt.ru/svetodiodnyie-svetilniki/svt-arh-luch-1010-36w-25-24v-dc-kr/","Ссылка")</f>
        <v>Ссылка</v>
      </c>
      <c r="AD1182" s="167">
        <v>15194</v>
      </c>
    </row>
    <row r="1183" spans="1:30" s="161" customFormat="1" ht="39.950000000000003" hidden="1" customHeight="1" outlineLevel="1" x14ac:dyDescent="0.25">
      <c r="A1183" s="21"/>
      <c r="B1183" s="21" t="s">
        <v>1873</v>
      </c>
      <c r="C1183" s="159" t="s">
        <v>1882</v>
      </c>
      <c r="D1183" s="161">
        <v>4320</v>
      </c>
      <c r="E1183" s="161">
        <v>36</v>
      </c>
      <c r="F1183" s="161">
        <v>120</v>
      </c>
      <c r="G1183" s="161" t="s">
        <v>1883</v>
      </c>
      <c r="H1183" s="161" t="s">
        <v>1577</v>
      </c>
      <c r="I1183" s="161">
        <v>67</v>
      </c>
      <c r="J1183" s="161" t="s">
        <v>389</v>
      </c>
      <c r="K1183" s="21" t="s">
        <v>1876</v>
      </c>
      <c r="L1183" s="161" t="s">
        <v>59</v>
      </c>
      <c r="M1183" s="21" t="s">
        <v>59</v>
      </c>
      <c r="N1183" s="161" t="s">
        <v>59</v>
      </c>
      <c r="O1183" s="21" t="s">
        <v>1800</v>
      </c>
      <c r="P1183" s="161" t="s">
        <v>109</v>
      </c>
      <c r="Q1183" s="21" t="s">
        <v>70</v>
      </c>
      <c r="R1183" s="161">
        <v>70</v>
      </c>
      <c r="S1183" s="161" t="s">
        <v>1816</v>
      </c>
      <c r="T1183" s="161" t="s">
        <v>174</v>
      </c>
      <c r="U1183" s="161" t="s">
        <v>73</v>
      </c>
      <c r="V1183" s="21" t="s">
        <v>1801</v>
      </c>
      <c r="W1183" s="21" t="s">
        <v>1817</v>
      </c>
      <c r="X1183" s="161" t="s">
        <v>1877</v>
      </c>
      <c r="Y1183" s="161">
        <v>0.01</v>
      </c>
      <c r="Z1183" s="161">
        <v>1.5</v>
      </c>
      <c r="AA1183" s="161" t="s">
        <v>77</v>
      </c>
      <c r="AB1183" s="161" t="s">
        <v>114</v>
      </c>
      <c r="AC1183" s="266" t="str">
        <f>HYPERLINK("https://gcsvt.ru/svetodiodnyie-svetilniki/svt-arh-luch-1010-36w-45-24v-dc-kr/","Ссылка")</f>
        <v>Ссылка</v>
      </c>
      <c r="AD1183" s="167">
        <v>15194</v>
      </c>
    </row>
    <row r="1184" spans="1:30" s="161" customFormat="1" ht="39.950000000000003" hidden="1" customHeight="1" outlineLevel="1" x14ac:dyDescent="0.25">
      <c r="A1184" s="21"/>
      <c r="B1184" s="21" t="s">
        <v>1873</v>
      </c>
      <c r="C1184" s="159" t="s">
        <v>1884</v>
      </c>
      <c r="D1184" s="161">
        <v>4320</v>
      </c>
      <c r="E1184" s="161">
        <v>36</v>
      </c>
      <c r="F1184" s="161">
        <v>120</v>
      </c>
      <c r="G1184" s="161" t="s">
        <v>1885</v>
      </c>
      <c r="H1184" s="161" t="s">
        <v>1812</v>
      </c>
      <c r="I1184" s="161">
        <v>67</v>
      </c>
      <c r="J1184" s="161" t="s">
        <v>389</v>
      </c>
      <c r="K1184" s="21" t="s">
        <v>1876</v>
      </c>
      <c r="L1184" s="161" t="s">
        <v>59</v>
      </c>
      <c r="M1184" s="21" t="s">
        <v>59</v>
      </c>
      <c r="N1184" s="161" t="s">
        <v>59</v>
      </c>
      <c r="O1184" s="21" t="s">
        <v>1800</v>
      </c>
      <c r="P1184" s="161" t="s">
        <v>109</v>
      </c>
      <c r="Q1184" s="21" t="s">
        <v>70</v>
      </c>
      <c r="R1184" s="161">
        <v>70</v>
      </c>
      <c r="S1184" s="161" t="s">
        <v>1816</v>
      </c>
      <c r="T1184" s="161" t="s">
        <v>174</v>
      </c>
      <c r="U1184" s="161" t="s">
        <v>73</v>
      </c>
      <c r="V1184" s="21" t="s">
        <v>1801</v>
      </c>
      <c r="W1184" s="21" t="s">
        <v>1817</v>
      </c>
      <c r="X1184" s="161" t="s">
        <v>1877</v>
      </c>
      <c r="Y1184" s="161">
        <v>0.01</v>
      </c>
      <c r="Z1184" s="161">
        <v>1.5</v>
      </c>
      <c r="AA1184" s="161" t="s">
        <v>77</v>
      </c>
      <c r="AB1184" s="161" t="s">
        <v>114</v>
      </c>
      <c r="AC1184" s="266" t="str">
        <f>HYPERLINK("https://gcsvt.ru/svetodiodnyie-svetilniki/svt-arh-luch-1010-36w-10x60-24v-dc-kr/","Ссылка")</f>
        <v>Ссылка</v>
      </c>
      <c r="AD1184" s="167">
        <v>15194</v>
      </c>
    </row>
    <row r="1185" spans="1:30" s="161" customFormat="1" ht="39.950000000000003" hidden="1" customHeight="1" outlineLevel="1" x14ac:dyDescent="0.25">
      <c r="A1185" s="21"/>
      <c r="B1185" s="21" t="s">
        <v>1873</v>
      </c>
      <c r="C1185" s="159" t="s">
        <v>1886</v>
      </c>
      <c r="D1185" s="161">
        <v>2880</v>
      </c>
      <c r="E1185" s="161">
        <v>24</v>
      </c>
      <c r="F1185" s="161">
        <v>120</v>
      </c>
      <c r="G1185" s="161" t="s">
        <v>1887</v>
      </c>
      <c r="H1185" s="161" t="s">
        <v>138</v>
      </c>
      <c r="I1185" s="161">
        <v>67</v>
      </c>
      <c r="J1185" s="161" t="s">
        <v>389</v>
      </c>
      <c r="K1185" s="21" t="s">
        <v>1876</v>
      </c>
      <c r="L1185" s="161" t="s">
        <v>59</v>
      </c>
      <c r="M1185" s="21" t="s">
        <v>59</v>
      </c>
      <c r="N1185" s="161" t="s">
        <v>59</v>
      </c>
      <c r="O1185" s="21" t="s">
        <v>1851</v>
      </c>
      <c r="P1185" s="161" t="s">
        <v>109</v>
      </c>
      <c r="Q1185" s="21" t="s">
        <v>70</v>
      </c>
      <c r="R1185" s="161">
        <v>70</v>
      </c>
      <c r="S1185" s="161" t="s">
        <v>1779</v>
      </c>
      <c r="T1185" s="161" t="s">
        <v>174</v>
      </c>
      <c r="U1185" s="161" t="s">
        <v>73</v>
      </c>
      <c r="V1185" s="21" t="s">
        <v>1801</v>
      </c>
      <c r="W1185" s="21" t="s">
        <v>1817</v>
      </c>
      <c r="X1185" s="161" t="s">
        <v>1888</v>
      </c>
      <c r="Y1185" s="161">
        <v>0.01</v>
      </c>
      <c r="Z1185" s="161">
        <v>1.3</v>
      </c>
      <c r="AA1185" s="161" t="s">
        <v>77</v>
      </c>
      <c r="AB1185" s="161" t="s">
        <v>114</v>
      </c>
      <c r="AC1185" s="266" t="str">
        <f>HYPERLINK("https://gcsvt.ru/svetodiodnyie-svetilniki/svt-arh-luch-685-24w-120-24v-dc-kr/","Ссылка")</f>
        <v>Ссылка</v>
      </c>
      <c r="AD1185" s="167">
        <v>8607</v>
      </c>
    </row>
    <row r="1186" spans="1:30" s="161" customFormat="1" ht="39.950000000000003" hidden="1" customHeight="1" outlineLevel="1" x14ac:dyDescent="0.25">
      <c r="A1186" s="21"/>
      <c r="B1186" s="21" t="s">
        <v>1873</v>
      </c>
      <c r="C1186" s="159" t="s">
        <v>1889</v>
      </c>
      <c r="D1186" s="161">
        <v>2880</v>
      </c>
      <c r="E1186" s="161">
        <v>24</v>
      </c>
      <c r="F1186" s="161">
        <v>120</v>
      </c>
      <c r="G1186" s="161" t="s">
        <v>1890</v>
      </c>
      <c r="H1186" s="161" t="s">
        <v>1805</v>
      </c>
      <c r="I1186" s="161">
        <v>67</v>
      </c>
      <c r="J1186" s="161" t="s">
        <v>389</v>
      </c>
      <c r="K1186" s="21" t="s">
        <v>1876</v>
      </c>
      <c r="L1186" s="161" t="s">
        <v>59</v>
      </c>
      <c r="M1186" s="21" t="s">
        <v>59</v>
      </c>
      <c r="N1186" s="161" t="s">
        <v>59</v>
      </c>
      <c r="O1186" s="21" t="s">
        <v>1800</v>
      </c>
      <c r="P1186" s="161" t="s">
        <v>109</v>
      </c>
      <c r="Q1186" s="21" t="s">
        <v>70</v>
      </c>
      <c r="R1186" s="161">
        <v>70</v>
      </c>
      <c r="S1186" s="161" t="s">
        <v>1779</v>
      </c>
      <c r="T1186" s="161" t="s">
        <v>174</v>
      </c>
      <c r="U1186" s="161" t="s">
        <v>73</v>
      </c>
      <c r="V1186" s="21" t="s">
        <v>1801</v>
      </c>
      <c r="W1186" s="21" t="s">
        <v>1817</v>
      </c>
      <c r="X1186" s="161" t="s">
        <v>1888</v>
      </c>
      <c r="Y1186" s="161">
        <v>0.01</v>
      </c>
      <c r="Z1186" s="161">
        <v>1.3</v>
      </c>
      <c r="AA1186" s="161" t="s">
        <v>77</v>
      </c>
      <c r="AB1186" s="161" t="s">
        <v>114</v>
      </c>
      <c r="AC1186" s="266" t="str">
        <f>HYPERLINK("https://gcsvt.ru/svetodiodnyie-svetilniki/svt-arh-luch-685-24w-15-24v-dc-kr/","Ссылка")</f>
        <v>Ссылка</v>
      </c>
      <c r="AD1186" s="167">
        <v>10540</v>
      </c>
    </row>
    <row r="1187" spans="1:30" s="161" customFormat="1" ht="39.950000000000003" hidden="1" customHeight="1" outlineLevel="1" x14ac:dyDescent="0.25">
      <c r="A1187" s="21"/>
      <c r="B1187" s="21" t="s">
        <v>1873</v>
      </c>
      <c r="C1187" s="159" t="s">
        <v>1891</v>
      </c>
      <c r="D1187" s="161">
        <v>2880</v>
      </c>
      <c r="E1187" s="161">
        <v>24</v>
      </c>
      <c r="F1187" s="161">
        <v>120</v>
      </c>
      <c r="G1187" s="161" t="s">
        <v>1892</v>
      </c>
      <c r="H1187" s="161" t="s">
        <v>1756</v>
      </c>
      <c r="I1187" s="161">
        <v>67</v>
      </c>
      <c r="J1187" s="161" t="s">
        <v>389</v>
      </c>
      <c r="K1187" s="21" t="s">
        <v>1876</v>
      </c>
      <c r="L1187" s="161" t="s">
        <v>59</v>
      </c>
      <c r="M1187" s="21" t="s">
        <v>59</v>
      </c>
      <c r="N1187" s="161" t="s">
        <v>59</v>
      </c>
      <c r="O1187" s="21" t="s">
        <v>1800</v>
      </c>
      <c r="P1187" s="161" t="s">
        <v>109</v>
      </c>
      <c r="Q1187" s="21" t="s">
        <v>70</v>
      </c>
      <c r="R1187" s="161">
        <v>70</v>
      </c>
      <c r="S1187" s="161" t="s">
        <v>1779</v>
      </c>
      <c r="T1187" s="161" t="s">
        <v>174</v>
      </c>
      <c r="U1187" s="161" t="s">
        <v>73</v>
      </c>
      <c r="V1187" s="21" t="s">
        <v>1801</v>
      </c>
      <c r="W1187" s="21" t="s">
        <v>1817</v>
      </c>
      <c r="X1187" s="161" t="s">
        <v>1888</v>
      </c>
      <c r="Y1187" s="161">
        <v>0.01</v>
      </c>
      <c r="Z1187" s="161">
        <v>1.3</v>
      </c>
      <c r="AA1187" s="161" t="s">
        <v>77</v>
      </c>
      <c r="AB1187" s="161" t="s">
        <v>114</v>
      </c>
      <c r="AC1187" s="266" t="str">
        <f>HYPERLINK("https://gcsvt.ru/svetodiodnyie-svetilniki/svt-arh-luch-685-24w-25-24v-dc-kr/","Ссылка")</f>
        <v>Ссылка</v>
      </c>
      <c r="AD1187" s="167">
        <v>10540</v>
      </c>
    </row>
    <row r="1188" spans="1:30" s="161" customFormat="1" ht="39.950000000000003" hidden="1" customHeight="1" outlineLevel="1" x14ac:dyDescent="0.25">
      <c r="A1188" s="21"/>
      <c r="B1188" s="21" t="s">
        <v>1873</v>
      </c>
      <c r="C1188" s="159" t="s">
        <v>1893</v>
      </c>
      <c r="D1188" s="161">
        <v>2880</v>
      </c>
      <c r="E1188" s="161">
        <v>24</v>
      </c>
      <c r="F1188" s="161">
        <v>120</v>
      </c>
      <c r="G1188" s="161" t="s">
        <v>1894</v>
      </c>
      <c r="H1188" s="161" t="s">
        <v>1577</v>
      </c>
      <c r="I1188" s="161">
        <v>67</v>
      </c>
      <c r="J1188" s="161" t="s">
        <v>389</v>
      </c>
      <c r="K1188" s="21" t="s">
        <v>1876</v>
      </c>
      <c r="L1188" s="161" t="s">
        <v>59</v>
      </c>
      <c r="M1188" s="21" t="s">
        <v>59</v>
      </c>
      <c r="N1188" s="161" t="s">
        <v>59</v>
      </c>
      <c r="O1188" s="21" t="s">
        <v>1800</v>
      </c>
      <c r="P1188" s="161" t="s">
        <v>109</v>
      </c>
      <c r="Q1188" s="21" t="s">
        <v>70</v>
      </c>
      <c r="R1188" s="161">
        <v>70</v>
      </c>
      <c r="S1188" s="161" t="s">
        <v>1779</v>
      </c>
      <c r="T1188" s="161" t="s">
        <v>174</v>
      </c>
      <c r="U1188" s="161" t="s">
        <v>73</v>
      </c>
      <c r="V1188" s="21" t="s">
        <v>1801</v>
      </c>
      <c r="W1188" s="21" t="s">
        <v>1817</v>
      </c>
      <c r="X1188" s="161" t="s">
        <v>1888</v>
      </c>
      <c r="Y1188" s="161">
        <v>0.01</v>
      </c>
      <c r="Z1188" s="161">
        <v>1.3</v>
      </c>
      <c r="AA1188" s="161" t="s">
        <v>77</v>
      </c>
      <c r="AB1188" s="161" t="s">
        <v>114</v>
      </c>
      <c r="AC1188" s="266" t="str">
        <f>HYPERLINK("https://gcsvt.ru/svetodiodnyie-svetilniki/svt-arh-luch-685-24w-45-24v-dc-kr/","Ссылка")</f>
        <v>Ссылка</v>
      </c>
      <c r="AD1188" s="167">
        <v>10540</v>
      </c>
    </row>
    <row r="1189" spans="1:30" s="161" customFormat="1" ht="39.950000000000003" hidden="1" customHeight="1" outlineLevel="1" x14ac:dyDescent="0.25">
      <c r="A1189" s="21"/>
      <c r="B1189" s="21" t="s">
        <v>1873</v>
      </c>
      <c r="C1189" s="159" t="s">
        <v>1895</v>
      </c>
      <c r="D1189" s="161">
        <v>2880</v>
      </c>
      <c r="E1189" s="161">
        <v>24</v>
      </c>
      <c r="F1189" s="161">
        <v>120</v>
      </c>
      <c r="G1189" s="161" t="s">
        <v>1896</v>
      </c>
      <c r="H1189" s="161" t="s">
        <v>1812</v>
      </c>
      <c r="I1189" s="161">
        <v>67</v>
      </c>
      <c r="J1189" s="161" t="s">
        <v>389</v>
      </c>
      <c r="K1189" s="21" t="s">
        <v>1876</v>
      </c>
      <c r="L1189" s="161" t="s">
        <v>59</v>
      </c>
      <c r="M1189" s="21" t="s">
        <v>59</v>
      </c>
      <c r="N1189" s="161" t="s">
        <v>59</v>
      </c>
      <c r="O1189" s="21" t="s">
        <v>1800</v>
      </c>
      <c r="P1189" s="161" t="s">
        <v>109</v>
      </c>
      <c r="Q1189" s="21" t="s">
        <v>70</v>
      </c>
      <c r="R1189" s="161">
        <v>70</v>
      </c>
      <c r="S1189" s="161" t="s">
        <v>1779</v>
      </c>
      <c r="T1189" s="161" t="s">
        <v>174</v>
      </c>
      <c r="U1189" s="161" t="s">
        <v>73</v>
      </c>
      <c r="V1189" s="21" t="s">
        <v>1801</v>
      </c>
      <c r="W1189" s="21" t="s">
        <v>1817</v>
      </c>
      <c r="X1189" s="161" t="s">
        <v>1888</v>
      </c>
      <c r="Y1189" s="161">
        <v>0.01</v>
      </c>
      <c r="Z1189" s="161">
        <v>1.3</v>
      </c>
      <c r="AA1189" s="161" t="s">
        <v>77</v>
      </c>
      <c r="AB1189" s="161" t="s">
        <v>114</v>
      </c>
      <c r="AC1189" s="266" t="str">
        <f>HYPERLINK("https://gcsvt.ru/svetodiodnyie-svetilniki/svt-arh-luch-685-24w-10x60-24v-dc-kr/","Ссылка")</f>
        <v>Ссылка</v>
      </c>
      <c r="AD1189" s="167">
        <v>10540</v>
      </c>
    </row>
    <row r="1190" spans="1:30" s="161" customFormat="1" ht="39.950000000000003" hidden="1" customHeight="1" outlineLevel="1" x14ac:dyDescent="0.25">
      <c r="A1190" s="21"/>
      <c r="B1190" s="21" t="s">
        <v>1873</v>
      </c>
      <c r="C1190" s="159" t="s">
        <v>1897</v>
      </c>
      <c r="D1190" s="161">
        <v>1440</v>
      </c>
      <c r="E1190" s="161">
        <v>12</v>
      </c>
      <c r="F1190" s="161">
        <v>120</v>
      </c>
      <c r="G1190" s="161" t="s">
        <v>1898</v>
      </c>
      <c r="H1190" s="161" t="s">
        <v>138</v>
      </c>
      <c r="I1190" s="161">
        <v>67</v>
      </c>
      <c r="J1190" s="161" t="s">
        <v>389</v>
      </c>
      <c r="K1190" s="21" t="s">
        <v>1876</v>
      </c>
      <c r="L1190" s="161" t="s">
        <v>59</v>
      </c>
      <c r="M1190" s="21" t="s">
        <v>59</v>
      </c>
      <c r="N1190" s="161" t="s">
        <v>59</v>
      </c>
      <c r="O1190" s="21" t="s">
        <v>1851</v>
      </c>
      <c r="P1190" s="161" t="s">
        <v>109</v>
      </c>
      <c r="Q1190" s="21" t="s">
        <v>70</v>
      </c>
      <c r="R1190" s="161">
        <v>70</v>
      </c>
      <c r="S1190" s="161" t="s">
        <v>1899</v>
      </c>
      <c r="T1190" s="161" t="s">
        <v>174</v>
      </c>
      <c r="U1190" s="161" t="s">
        <v>73</v>
      </c>
      <c r="V1190" s="21" t="s">
        <v>1801</v>
      </c>
      <c r="W1190" s="21" t="s">
        <v>1817</v>
      </c>
      <c r="X1190" s="161" t="s">
        <v>1900</v>
      </c>
      <c r="Y1190" s="161">
        <v>0.01</v>
      </c>
      <c r="Z1190" s="161">
        <v>1</v>
      </c>
      <c r="AA1190" s="161" t="s">
        <v>77</v>
      </c>
      <c r="AB1190" s="161" t="s">
        <v>114</v>
      </c>
      <c r="AC1190" s="266" t="str">
        <f>HYPERLINK("https://gcsvt.ru/svetodiodnyie-svetilniki/svt-arh-luch-360-12w-120-24v-dc-kr/","Ссылка")</f>
        <v>Ссылка</v>
      </c>
      <c r="AD1190" s="167">
        <v>5950</v>
      </c>
    </row>
    <row r="1191" spans="1:30" s="161" customFormat="1" ht="39.950000000000003" hidden="1" customHeight="1" outlineLevel="1" x14ac:dyDescent="0.25">
      <c r="A1191" s="21"/>
      <c r="B1191" s="21" t="s">
        <v>1873</v>
      </c>
      <c r="C1191" s="159" t="s">
        <v>1901</v>
      </c>
      <c r="D1191" s="161">
        <v>1440</v>
      </c>
      <c r="E1191" s="161">
        <v>12</v>
      </c>
      <c r="F1191" s="161">
        <v>120</v>
      </c>
      <c r="G1191" s="161" t="s">
        <v>1902</v>
      </c>
      <c r="H1191" s="161" t="s">
        <v>1805</v>
      </c>
      <c r="I1191" s="161">
        <v>67</v>
      </c>
      <c r="J1191" s="161" t="s">
        <v>389</v>
      </c>
      <c r="K1191" s="21" t="s">
        <v>1876</v>
      </c>
      <c r="L1191" s="161" t="s">
        <v>59</v>
      </c>
      <c r="M1191" s="21" t="s">
        <v>59</v>
      </c>
      <c r="N1191" s="161" t="s">
        <v>59</v>
      </c>
      <c r="O1191" s="21" t="s">
        <v>1800</v>
      </c>
      <c r="P1191" s="161" t="s">
        <v>109</v>
      </c>
      <c r="Q1191" s="21" t="s">
        <v>70</v>
      </c>
      <c r="R1191" s="161">
        <v>70</v>
      </c>
      <c r="S1191" s="161" t="s">
        <v>1899</v>
      </c>
      <c r="T1191" s="161" t="s">
        <v>174</v>
      </c>
      <c r="U1191" s="161" t="s">
        <v>73</v>
      </c>
      <c r="V1191" s="21" t="s">
        <v>1801</v>
      </c>
      <c r="W1191" s="21" t="s">
        <v>1817</v>
      </c>
      <c r="X1191" s="161" t="s">
        <v>1900</v>
      </c>
      <c r="Y1191" s="161">
        <v>0.01</v>
      </c>
      <c r="Z1191" s="161">
        <v>1</v>
      </c>
      <c r="AA1191" s="161" t="s">
        <v>77</v>
      </c>
      <c r="AB1191" s="161" t="s">
        <v>114</v>
      </c>
      <c r="AC1191" s="266" t="str">
        <f>HYPERLINK("https://gcsvt.ru/svetodiodnyie-svetilniki/svt-arh-luch-360-12w-15-24v-dc-kr/","Ссылка")</f>
        <v>Ссылка</v>
      </c>
      <c r="AD1191" s="167">
        <v>6375</v>
      </c>
    </row>
    <row r="1192" spans="1:30" s="161" customFormat="1" ht="39.950000000000003" hidden="1" customHeight="1" outlineLevel="1" x14ac:dyDescent="0.25">
      <c r="A1192" s="21"/>
      <c r="B1192" s="21" t="s">
        <v>1873</v>
      </c>
      <c r="C1192" s="159" t="s">
        <v>1903</v>
      </c>
      <c r="D1192" s="161">
        <v>1440</v>
      </c>
      <c r="E1192" s="161">
        <v>12</v>
      </c>
      <c r="F1192" s="161">
        <v>120</v>
      </c>
      <c r="G1192" s="161" t="s">
        <v>1904</v>
      </c>
      <c r="H1192" s="161" t="s">
        <v>1756</v>
      </c>
      <c r="I1192" s="161">
        <v>67</v>
      </c>
      <c r="J1192" s="161" t="s">
        <v>389</v>
      </c>
      <c r="K1192" s="21" t="s">
        <v>1876</v>
      </c>
      <c r="L1192" s="161" t="s">
        <v>59</v>
      </c>
      <c r="M1192" s="21" t="s">
        <v>59</v>
      </c>
      <c r="N1192" s="161" t="s">
        <v>59</v>
      </c>
      <c r="O1192" s="21" t="s">
        <v>1800</v>
      </c>
      <c r="P1192" s="161" t="s">
        <v>109</v>
      </c>
      <c r="Q1192" s="21" t="s">
        <v>70</v>
      </c>
      <c r="R1192" s="161">
        <v>70</v>
      </c>
      <c r="S1192" s="161" t="s">
        <v>1899</v>
      </c>
      <c r="T1192" s="161" t="s">
        <v>174</v>
      </c>
      <c r="U1192" s="161" t="s">
        <v>73</v>
      </c>
      <c r="V1192" s="21" t="s">
        <v>1801</v>
      </c>
      <c r="W1192" s="21" t="s">
        <v>1817</v>
      </c>
      <c r="X1192" s="161" t="s">
        <v>1900</v>
      </c>
      <c r="Y1192" s="161">
        <v>0.01</v>
      </c>
      <c r="Z1192" s="161">
        <v>1</v>
      </c>
      <c r="AA1192" s="161" t="s">
        <v>77</v>
      </c>
      <c r="AB1192" s="161" t="s">
        <v>114</v>
      </c>
      <c r="AC1192" s="266" t="str">
        <f>HYPERLINK("https://gcsvt.ru/svetodiodnyie-svetilniki/svt-arh-luch-360-12w-25-24v-dc-kr/","Ссылка")</f>
        <v>Ссылка</v>
      </c>
      <c r="AD1192" s="167">
        <v>6375</v>
      </c>
    </row>
    <row r="1193" spans="1:30" s="161" customFormat="1" ht="39.950000000000003" hidden="1" customHeight="1" outlineLevel="1" x14ac:dyDescent="0.25">
      <c r="A1193" s="21"/>
      <c r="B1193" s="21" t="s">
        <v>1873</v>
      </c>
      <c r="C1193" s="159" t="s">
        <v>1905</v>
      </c>
      <c r="D1193" s="161">
        <v>1440</v>
      </c>
      <c r="E1193" s="161">
        <v>12</v>
      </c>
      <c r="F1193" s="161">
        <v>120</v>
      </c>
      <c r="G1193" s="161" t="s">
        <v>1906</v>
      </c>
      <c r="H1193" s="161" t="s">
        <v>1577</v>
      </c>
      <c r="I1193" s="161">
        <v>67</v>
      </c>
      <c r="J1193" s="161" t="s">
        <v>389</v>
      </c>
      <c r="K1193" s="21" t="s">
        <v>1876</v>
      </c>
      <c r="L1193" s="161" t="s">
        <v>59</v>
      </c>
      <c r="M1193" s="21" t="s">
        <v>59</v>
      </c>
      <c r="N1193" s="161" t="s">
        <v>59</v>
      </c>
      <c r="O1193" s="21" t="s">
        <v>1800</v>
      </c>
      <c r="P1193" s="161" t="s">
        <v>109</v>
      </c>
      <c r="Q1193" s="21" t="s">
        <v>70</v>
      </c>
      <c r="R1193" s="161">
        <v>70</v>
      </c>
      <c r="S1193" s="161" t="s">
        <v>1899</v>
      </c>
      <c r="T1193" s="161" t="s">
        <v>174</v>
      </c>
      <c r="U1193" s="161" t="s">
        <v>73</v>
      </c>
      <c r="V1193" s="21" t="s">
        <v>1801</v>
      </c>
      <c r="W1193" s="21" t="s">
        <v>1817</v>
      </c>
      <c r="X1193" s="161" t="s">
        <v>1900</v>
      </c>
      <c r="Y1193" s="161">
        <v>0.01</v>
      </c>
      <c r="Z1193" s="161">
        <v>1</v>
      </c>
      <c r="AA1193" s="161" t="s">
        <v>77</v>
      </c>
      <c r="AB1193" s="161" t="s">
        <v>114</v>
      </c>
      <c r="AC1193" s="266" t="str">
        <f>HYPERLINK("https://gcsvt.ru/svetodiodnyie-svetilniki/svt-arh-luch-360-12w-45-24v-dc-kr/","Ссылка")</f>
        <v>Ссылка</v>
      </c>
      <c r="AD1193" s="167">
        <v>6375</v>
      </c>
    </row>
    <row r="1194" spans="1:30" s="161" customFormat="1" ht="39.950000000000003" hidden="1" customHeight="1" outlineLevel="1" x14ac:dyDescent="0.25">
      <c r="A1194" s="21"/>
      <c r="B1194" s="21" t="s">
        <v>1873</v>
      </c>
      <c r="C1194" s="159" t="s">
        <v>1907</v>
      </c>
      <c r="D1194" s="161">
        <v>1440</v>
      </c>
      <c r="E1194" s="161">
        <v>12</v>
      </c>
      <c r="F1194" s="161">
        <v>120</v>
      </c>
      <c r="G1194" s="161" t="s">
        <v>1908</v>
      </c>
      <c r="H1194" s="161" t="s">
        <v>1812</v>
      </c>
      <c r="I1194" s="161">
        <v>67</v>
      </c>
      <c r="J1194" s="161" t="s">
        <v>389</v>
      </c>
      <c r="K1194" s="21" t="s">
        <v>1876</v>
      </c>
      <c r="L1194" s="161" t="s">
        <v>59</v>
      </c>
      <c r="M1194" s="21" t="s">
        <v>59</v>
      </c>
      <c r="N1194" s="161" t="s">
        <v>59</v>
      </c>
      <c r="O1194" s="21" t="s">
        <v>1800</v>
      </c>
      <c r="P1194" s="161" t="s">
        <v>109</v>
      </c>
      <c r="Q1194" s="21" t="s">
        <v>70</v>
      </c>
      <c r="R1194" s="161">
        <v>70</v>
      </c>
      <c r="S1194" s="161" t="s">
        <v>1899</v>
      </c>
      <c r="T1194" s="161" t="s">
        <v>174</v>
      </c>
      <c r="U1194" s="161" t="s">
        <v>73</v>
      </c>
      <c r="V1194" s="21" t="s">
        <v>1801</v>
      </c>
      <c r="W1194" s="21" t="s">
        <v>1817</v>
      </c>
      <c r="X1194" s="161" t="s">
        <v>1900</v>
      </c>
      <c r="Y1194" s="161">
        <v>0.01</v>
      </c>
      <c r="Z1194" s="161">
        <v>1</v>
      </c>
      <c r="AA1194" s="161" t="s">
        <v>77</v>
      </c>
      <c r="AB1194" s="161" t="s">
        <v>114</v>
      </c>
      <c r="AC1194" s="266" t="str">
        <f>HYPERLINK("https://gcsvt.ru/svetodiodnyie-svetilniki/svt-arh-luch-360-12w-10x60-24v-dc-kr/","Ссылка")</f>
        <v>Ссылка</v>
      </c>
      <c r="AD1194" s="167">
        <v>6375</v>
      </c>
    </row>
    <row r="1195" spans="1:30" s="161" customFormat="1" ht="39.950000000000003" customHeight="1" collapsed="1" x14ac:dyDescent="0.25">
      <c r="A1195" s="158"/>
      <c r="B1195" s="195" t="s">
        <v>4630</v>
      </c>
      <c r="C1195" s="202"/>
      <c r="D1195" s="163"/>
      <c r="E1195" s="163"/>
      <c r="F1195" s="163"/>
      <c r="G1195" s="163"/>
      <c r="H1195" s="163"/>
      <c r="I1195" s="163"/>
      <c r="J1195" s="163"/>
      <c r="K1195" s="75"/>
      <c r="L1195" s="163"/>
      <c r="M1195" s="75"/>
      <c r="N1195" s="163"/>
      <c r="O1195" s="75"/>
      <c r="P1195" s="163"/>
      <c r="Q1195" s="75"/>
      <c r="R1195" s="163"/>
      <c r="S1195" s="163"/>
      <c r="T1195" s="163"/>
      <c r="U1195" s="163"/>
      <c r="V1195" s="75"/>
      <c r="W1195" s="75"/>
      <c r="X1195" s="163"/>
      <c r="Y1195" s="163"/>
      <c r="Z1195" s="163"/>
      <c r="AA1195" s="163"/>
      <c r="AB1195" s="163"/>
      <c r="AC1195" s="227"/>
      <c r="AD1195" s="164"/>
    </row>
    <row r="1196" spans="1:30" s="161" customFormat="1" ht="39.950000000000003" hidden="1" customHeight="1" outlineLevel="1" x14ac:dyDescent="0.25">
      <c r="A1196" s="21"/>
      <c r="B1196" s="21" t="s">
        <v>1776</v>
      </c>
      <c r="C1196" s="159" t="s">
        <v>1777</v>
      </c>
      <c r="D1196" s="161">
        <v>3684</v>
      </c>
      <c r="E1196" s="161">
        <v>27</v>
      </c>
      <c r="F1196" s="161">
        <v>136</v>
      </c>
      <c r="G1196" s="161" t="s">
        <v>1778</v>
      </c>
      <c r="H1196" s="161" t="s">
        <v>1136</v>
      </c>
      <c r="I1196" s="161">
        <v>67</v>
      </c>
      <c r="J1196" s="161" t="s">
        <v>389</v>
      </c>
      <c r="K1196" s="21" t="s">
        <v>106</v>
      </c>
      <c r="L1196" s="161" t="s">
        <v>3380</v>
      </c>
      <c r="M1196" s="21" t="s">
        <v>568</v>
      </c>
      <c r="N1196" s="161" t="s">
        <v>108</v>
      </c>
      <c r="O1196" s="21" t="s">
        <v>68</v>
      </c>
      <c r="P1196" s="161" t="s">
        <v>109</v>
      </c>
      <c r="Q1196" s="21" t="s">
        <v>70</v>
      </c>
      <c r="R1196" s="161">
        <v>70</v>
      </c>
      <c r="S1196" s="161" t="s">
        <v>1779</v>
      </c>
      <c r="T1196" s="161" t="s">
        <v>1780</v>
      </c>
      <c r="U1196" s="161" t="s">
        <v>73</v>
      </c>
      <c r="V1196" s="21" t="s">
        <v>1759</v>
      </c>
      <c r="W1196" s="21" t="s">
        <v>762</v>
      </c>
      <c r="X1196" s="161" t="s">
        <v>1781</v>
      </c>
      <c r="Y1196" s="161">
        <v>5.7959999999999999E-3</v>
      </c>
      <c r="Z1196" s="161">
        <v>1.6</v>
      </c>
      <c r="AA1196" s="161" t="s">
        <v>77</v>
      </c>
      <c r="AB1196" s="161" t="s">
        <v>114</v>
      </c>
      <c r="AC1196" s="266" t="str">
        <f>HYPERLINK("https://gcsvt.ru/svetodiodnyie-svetilniki/svt-arh-ds-27w-12/","Ссылка")</f>
        <v>Ссылка</v>
      </c>
      <c r="AD1196" s="170" t="s">
        <v>2859</v>
      </c>
    </row>
    <row r="1197" spans="1:30" s="161" customFormat="1" ht="39.950000000000003" hidden="1" customHeight="1" outlineLevel="1" x14ac:dyDescent="0.25">
      <c r="A1197" s="21"/>
      <c r="B1197" s="21" t="s">
        <v>1776</v>
      </c>
      <c r="C1197" s="159" t="s">
        <v>1782</v>
      </c>
      <c r="D1197" s="161">
        <v>3684</v>
      </c>
      <c r="E1197" s="161">
        <v>27</v>
      </c>
      <c r="F1197" s="161">
        <v>136</v>
      </c>
      <c r="G1197" s="161" t="s">
        <v>1783</v>
      </c>
      <c r="H1197" s="161" t="s">
        <v>1142</v>
      </c>
      <c r="I1197" s="161">
        <v>67</v>
      </c>
      <c r="J1197" s="161" t="s">
        <v>389</v>
      </c>
      <c r="K1197" s="21" t="s">
        <v>106</v>
      </c>
      <c r="L1197" s="161" t="s">
        <v>3380</v>
      </c>
      <c r="M1197" s="21" t="s">
        <v>568</v>
      </c>
      <c r="N1197" s="161" t="s">
        <v>108</v>
      </c>
      <c r="O1197" s="21" t="s">
        <v>68</v>
      </c>
      <c r="P1197" s="161" t="s">
        <v>109</v>
      </c>
      <c r="Q1197" s="21" t="s">
        <v>70</v>
      </c>
      <c r="R1197" s="161">
        <v>70</v>
      </c>
      <c r="S1197" s="161" t="s">
        <v>1779</v>
      </c>
      <c r="T1197" s="161" t="s">
        <v>1780</v>
      </c>
      <c r="U1197" s="161" t="s">
        <v>73</v>
      </c>
      <c r="V1197" s="21" t="s">
        <v>1759</v>
      </c>
      <c r="W1197" s="21" t="s">
        <v>762</v>
      </c>
      <c r="X1197" s="161" t="s">
        <v>1781</v>
      </c>
      <c r="Y1197" s="161">
        <v>5.7959999999999999E-3</v>
      </c>
      <c r="Z1197" s="161">
        <v>1.6</v>
      </c>
      <c r="AA1197" s="161" t="s">
        <v>77</v>
      </c>
      <c r="AB1197" s="161" t="s">
        <v>114</v>
      </c>
      <c r="AC1197" s="266" t="str">
        <f>HYPERLINK("https://gcsvt.ru/svetodiodnyie-svetilniki/svt-arh-ds-27w-27/","Ссылка")</f>
        <v>Ссылка</v>
      </c>
      <c r="AD1197" s="170" t="s">
        <v>2859</v>
      </c>
    </row>
    <row r="1198" spans="1:30" s="161" customFormat="1" ht="39.950000000000003" hidden="1" customHeight="1" outlineLevel="1" x14ac:dyDescent="0.25">
      <c r="A1198" s="21"/>
      <c r="B1198" s="21" t="s">
        <v>1776</v>
      </c>
      <c r="C1198" s="159" t="s">
        <v>1784</v>
      </c>
      <c r="D1198" s="161">
        <v>3684</v>
      </c>
      <c r="E1198" s="161">
        <v>27</v>
      </c>
      <c r="F1198" s="161">
        <v>136</v>
      </c>
      <c r="G1198" s="161" t="s">
        <v>1785</v>
      </c>
      <c r="H1198" s="161" t="s">
        <v>1145</v>
      </c>
      <c r="I1198" s="161">
        <v>67</v>
      </c>
      <c r="J1198" s="161" t="s">
        <v>389</v>
      </c>
      <c r="K1198" s="21" t="s">
        <v>106</v>
      </c>
      <c r="L1198" s="161" t="s">
        <v>3380</v>
      </c>
      <c r="M1198" s="21" t="s">
        <v>568</v>
      </c>
      <c r="N1198" s="161" t="s">
        <v>108</v>
      </c>
      <c r="O1198" s="21" t="s">
        <v>68</v>
      </c>
      <c r="P1198" s="161" t="s">
        <v>109</v>
      </c>
      <c r="Q1198" s="21" t="s">
        <v>70</v>
      </c>
      <c r="R1198" s="161">
        <v>70</v>
      </c>
      <c r="S1198" s="161" t="s">
        <v>1779</v>
      </c>
      <c r="T1198" s="161" t="s">
        <v>1780</v>
      </c>
      <c r="U1198" s="161" t="s">
        <v>73</v>
      </c>
      <c r="V1198" s="21" t="s">
        <v>1759</v>
      </c>
      <c r="W1198" s="21" t="s">
        <v>762</v>
      </c>
      <c r="X1198" s="161" t="s">
        <v>1781</v>
      </c>
      <c r="Y1198" s="161">
        <v>5.7959999999999999E-3</v>
      </c>
      <c r="Z1198" s="161">
        <v>1.6</v>
      </c>
      <c r="AA1198" s="161" t="s">
        <v>77</v>
      </c>
      <c r="AB1198" s="161" t="s">
        <v>114</v>
      </c>
      <c r="AC1198" s="266" t="str">
        <f>HYPERLINK("https://gcsvt.ru/svetodiodnyie-svetilniki/svt-arh-ds-27w-58/","Ссылка")</f>
        <v>Ссылка</v>
      </c>
      <c r="AD1198" s="170" t="s">
        <v>2859</v>
      </c>
    </row>
    <row r="1199" spans="1:30" s="161" customFormat="1" ht="39.950000000000003" customHeight="1" collapsed="1" x14ac:dyDescent="0.25">
      <c r="A1199" s="165"/>
      <c r="B1199" s="195" t="s">
        <v>4632</v>
      </c>
      <c r="C1199" s="202"/>
      <c r="D1199" s="163"/>
      <c r="E1199" s="163"/>
      <c r="F1199" s="163"/>
      <c r="G1199" s="163"/>
      <c r="H1199" s="163"/>
      <c r="I1199" s="163"/>
      <c r="J1199" s="163"/>
      <c r="K1199" s="75"/>
      <c r="L1199" s="163"/>
      <c r="M1199" s="75"/>
      <c r="N1199" s="163"/>
      <c r="O1199" s="75"/>
      <c r="P1199" s="163"/>
      <c r="Q1199" s="75"/>
      <c r="R1199" s="163"/>
      <c r="S1199" s="163"/>
      <c r="T1199" s="163"/>
      <c r="U1199" s="163"/>
      <c r="V1199" s="75"/>
      <c r="W1199" s="75"/>
      <c r="X1199" s="163"/>
      <c r="Y1199" s="163"/>
      <c r="Z1199" s="163"/>
      <c r="AA1199" s="163"/>
      <c r="AB1199" s="163"/>
      <c r="AC1199" s="227"/>
      <c r="AD1199" s="164"/>
    </row>
    <row r="1200" spans="1:30" s="161" customFormat="1" ht="39.950000000000003" hidden="1" customHeight="1" outlineLevel="1" x14ac:dyDescent="0.25">
      <c r="B1200" s="21" t="s">
        <v>1786</v>
      </c>
      <c r="C1200" s="159" t="s">
        <v>1787</v>
      </c>
      <c r="D1200" s="161">
        <v>1328</v>
      </c>
      <c r="E1200" s="161">
        <v>27</v>
      </c>
      <c r="F1200" s="161">
        <v>49</v>
      </c>
      <c r="G1200" s="161" t="s">
        <v>1788</v>
      </c>
      <c r="H1200" s="161" t="s">
        <v>1145</v>
      </c>
      <c r="I1200" s="161">
        <v>67</v>
      </c>
      <c r="J1200" s="161" t="s">
        <v>105</v>
      </c>
      <c r="K1200" s="21" t="s">
        <v>106</v>
      </c>
      <c r="L1200" s="161">
        <v>0.95</v>
      </c>
      <c r="M1200" s="21" t="s">
        <v>1789</v>
      </c>
      <c r="N1200" s="161" t="s">
        <v>67</v>
      </c>
      <c r="O1200" s="21" t="s">
        <v>68</v>
      </c>
      <c r="P1200" s="161" t="s">
        <v>69</v>
      </c>
      <c r="Q1200" s="21" t="s">
        <v>1790</v>
      </c>
      <c r="R1200" s="161" t="s">
        <v>59</v>
      </c>
      <c r="S1200" s="161" t="s">
        <v>1791</v>
      </c>
      <c r="T1200" s="161" t="s">
        <v>1792</v>
      </c>
      <c r="U1200" s="161" t="s">
        <v>73</v>
      </c>
      <c r="V1200" s="21" t="s">
        <v>1793</v>
      </c>
      <c r="W1200" s="21" t="s">
        <v>112</v>
      </c>
      <c r="X1200" s="161" t="s">
        <v>143</v>
      </c>
      <c r="Y1200" s="161">
        <v>0.01</v>
      </c>
      <c r="Z1200" s="161">
        <v>1.2</v>
      </c>
      <c r="AA1200" s="161" t="s">
        <v>77</v>
      </c>
      <c r="AB1200" s="161" t="s">
        <v>114</v>
      </c>
      <c r="AC1200" s="266" t="str">
        <f>HYPERLINK("https://gcsvt.ru/svetodiodnyie-svetilniki/svt-str-rgb-mpro-27w-58-dmx/","Ссылка")</f>
        <v>Ссылка</v>
      </c>
      <c r="AD1200" s="24" t="s">
        <v>2859</v>
      </c>
    </row>
    <row r="1201" spans="1:30" s="161" customFormat="1" ht="39.950000000000003" hidden="1" customHeight="1" outlineLevel="1" x14ac:dyDescent="0.25">
      <c r="B1201" s="21" t="s">
        <v>1786</v>
      </c>
      <c r="C1201" s="159" t="s">
        <v>1794</v>
      </c>
      <c r="D1201" s="161">
        <v>2645</v>
      </c>
      <c r="E1201" s="161">
        <v>53</v>
      </c>
      <c r="F1201" s="161">
        <v>49</v>
      </c>
      <c r="G1201" s="161" t="s">
        <v>1795</v>
      </c>
      <c r="H1201" s="161" t="s">
        <v>1145</v>
      </c>
      <c r="I1201" s="161">
        <v>67</v>
      </c>
      <c r="J1201" s="161" t="s">
        <v>105</v>
      </c>
      <c r="K1201" s="21" t="s">
        <v>106</v>
      </c>
      <c r="L1201" s="161">
        <v>0.95</v>
      </c>
      <c r="M1201" s="21" t="s">
        <v>1789</v>
      </c>
      <c r="N1201" s="161" t="s">
        <v>67</v>
      </c>
      <c r="O1201" s="21" t="s">
        <v>68</v>
      </c>
      <c r="P1201" s="161" t="s">
        <v>69</v>
      </c>
      <c r="Q1201" s="21" t="s">
        <v>1790</v>
      </c>
      <c r="R1201" s="161" t="s">
        <v>59</v>
      </c>
      <c r="S1201" s="161" t="s">
        <v>1791</v>
      </c>
      <c r="T1201" s="161" t="s">
        <v>1792</v>
      </c>
      <c r="U1201" s="161" t="s">
        <v>73</v>
      </c>
      <c r="V1201" s="21" t="s">
        <v>1793</v>
      </c>
      <c r="W1201" s="21" t="s">
        <v>112</v>
      </c>
      <c r="X1201" s="161" t="s">
        <v>201</v>
      </c>
      <c r="Y1201" s="161">
        <v>0.01</v>
      </c>
      <c r="Z1201" s="161">
        <v>2</v>
      </c>
      <c r="AA1201" s="161" t="s">
        <v>77</v>
      </c>
      <c r="AB1201" s="161" t="s">
        <v>114</v>
      </c>
      <c r="AC1201" s="266" t="str">
        <f>HYPERLINK("https://gcsvt.ru/svetodiodnyie-svetilniki/svt-str-rgb-mpro-53w-58-dmx/","Ссылка")</f>
        <v>Ссылка</v>
      </c>
      <c r="AD1201" s="24" t="s">
        <v>2859</v>
      </c>
    </row>
    <row r="1202" spans="1:30" s="161" customFormat="1" ht="39.950000000000003" customHeight="1" collapsed="1" x14ac:dyDescent="0.25">
      <c r="A1202" s="165"/>
      <c r="B1202" s="195" t="s">
        <v>4631</v>
      </c>
      <c r="C1202" s="202"/>
      <c r="D1202" s="163"/>
      <c r="E1202" s="163"/>
      <c r="F1202" s="163"/>
      <c r="G1202" s="163"/>
      <c r="H1202" s="163"/>
      <c r="I1202" s="163"/>
      <c r="J1202" s="163"/>
      <c r="K1202" s="75"/>
      <c r="L1202" s="163"/>
      <c r="M1202" s="75"/>
      <c r="N1202" s="163"/>
      <c r="O1202" s="75"/>
      <c r="P1202" s="163"/>
      <c r="Q1202" s="75"/>
      <c r="R1202" s="163"/>
      <c r="S1202" s="163"/>
      <c r="T1202" s="163"/>
      <c r="U1202" s="163"/>
      <c r="V1202" s="75"/>
      <c r="W1202" s="75"/>
      <c r="X1202" s="163"/>
      <c r="Y1202" s="163"/>
      <c r="Z1202" s="163"/>
      <c r="AA1202" s="163"/>
      <c r="AB1202" s="163"/>
      <c r="AC1202" s="227"/>
      <c r="AD1202" s="164"/>
    </row>
    <row r="1203" spans="1:30" s="161" customFormat="1" ht="39.950000000000003" hidden="1" customHeight="1" outlineLevel="1" x14ac:dyDescent="0.25">
      <c r="A1203" s="21"/>
      <c r="B1203" s="21" t="s">
        <v>1133</v>
      </c>
      <c r="C1203" s="159" t="s">
        <v>1134</v>
      </c>
      <c r="D1203" s="161">
        <v>1350</v>
      </c>
      <c r="E1203" s="161">
        <v>24</v>
      </c>
      <c r="F1203" s="161">
        <v>56</v>
      </c>
      <c r="G1203" s="161" t="s">
        <v>1135</v>
      </c>
      <c r="H1203" s="161" t="s">
        <v>1136</v>
      </c>
      <c r="I1203" s="161">
        <v>67</v>
      </c>
      <c r="J1203" s="161" t="s">
        <v>105</v>
      </c>
      <c r="K1203" s="21" t="s">
        <v>106</v>
      </c>
      <c r="L1203" s="161" t="s">
        <v>3380</v>
      </c>
      <c r="M1203" s="21" t="s">
        <v>107</v>
      </c>
      <c r="N1203" s="161" t="s">
        <v>108</v>
      </c>
      <c r="O1203" s="21" t="s">
        <v>68</v>
      </c>
      <c r="P1203" s="161" t="s">
        <v>109</v>
      </c>
      <c r="Q1203" s="21" t="s">
        <v>1137</v>
      </c>
      <c r="R1203" s="161" t="s">
        <v>59</v>
      </c>
      <c r="S1203" s="161" t="s">
        <v>1138</v>
      </c>
      <c r="T1203" s="161" t="s">
        <v>1139</v>
      </c>
      <c r="U1203" s="161" t="s">
        <v>73</v>
      </c>
      <c r="V1203" s="21" t="s">
        <v>74</v>
      </c>
      <c r="W1203" s="21" t="s">
        <v>762</v>
      </c>
      <c r="X1203" s="161" t="s">
        <v>787</v>
      </c>
      <c r="Y1203" s="161">
        <v>5.3949999999999996E-3</v>
      </c>
      <c r="Z1203" s="161">
        <v>1.3</v>
      </c>
      <c r="AA1203" s="161" t="s">
        <v>77</v>
      </c>
      <c r="AB1203" s="161" t="s">
        <v>114</v>
      </c>
      <c r="AC1203" s="266" t="str">
        <f>HYPERLINK("https://gcsvt.ru/svetodiodnyie-svetilniki/svt-str-m-24w-12-red/","Ссылка")</f>
        <v>Ссылка</v>
      </c>
      <c r="AD1203" s="167">
        <v>8004</v>
      </c>
    </row>
    <row r="1204" spans="1:30" s="161" customFormat="1" ht="39.950000000000003" hidden="1" customHeight="1" outlineLevel="1" x14ac:dyDescent="0.25">
      <c r="A1204" s="21"/>
      <c r="B1204" s="21" t="s">
        <v>1133</v>
      </c>
      <c r="C1204" s="159" t="s">
        <v>1140</v>
      </c>
      <c r="D1204" s="161">
        <v>1350</v>
      </c>
      <c r="E1204" s="161">
        <v>24</v>
      </c>
      <c r="F1204" s="161">
        <v>56</v>
      </c>
      <c r="G1204" s="161" t="s">
        <v>1141</v>
      </c>
      <c r="H1204" s="161" t="s">
        <v>1142</v>
      </c>
      <c r="I1204" s="161">
        <v>67</v>
      </c>
      <c r="J1204" s="161" t="s">
        <v>105</v>
      </c>
      <c r="K1204" s="21" t="s">
        <v>106</v>
      </c>
      <c r="L1204" s="161" t="s">
        <v>3380</v>
      </c>
      <c r="M1204" s="21" t="s">
        <v>107</v>
      </c>
      <c r="N1204" s="161" t="s">
        <v>108</v>
      </c>
      <c r="O1204" s="21" t="s">
        <v>68</v>
      </c>
      <c r="P1204" s="161" t="s">
        <v>109</v>
      </c>
      <c r="Q1204" s="21" t="s">
        <v>1137</v>
      </c>
      <c r="R1204" s="161" t="s">
        <v>59</v>
      </c>
      <c r="S1204" s="161" t="s">
        <v>1138</v>
      </c>
      <c r="T1204" s="161" t="s">
        <v>1139</v>
      </c>
      <c r="U1204" s="161" t="s">
        <v>73</v>
      </c>
      <c r="V1204" s="21" t="s">
        <v>74</v>
      </c>
      <c r="W1204" s="21" t="s">
        <v>762</v>
      </c>
      <c r="X1204" s="161" t="s">
        <v>787</v>
      </c>
      <c r="Y1204" s="161">
        <v>5.3949999999999996E-3</v>
      </c>
      <c r="Z1204" s="161">
        <v>1.3</v>
      </c>
      <c r="AA1204" s="161" t="s">
        <v>77</v>
      </c>
      <c r="AB1204" s="161" t="s">
        <v>114</v>
      </c>
      <c r="AC1204" s="266" t="str">
        <f>HYPERLINK("https://gcsvt.ru/svetodiodnyie-svetilniki/svt-str-m-24w-27-red/","Ссылка")</f>
        <v>Ссылка</v>
      </c>
      <c r="AD1204" s="167">
        <v>8004</v>
      </c>
    </row>
    <row r="1205" spans="1:30" s="161" customFormat="1" ht="39.950000000000003" hidden="1" customHeight="1" outlineLevel="1" x14ac:dyDescent="0.25">
      <c r="A1205" s="21"/>
      <c r="B1205" s="21" t="s">
        <v>1133</v>
      </c>
      <c r="C1205" s="159" t="s">
        <v>1143</v>
      </c>
      <c r="D1205" s="161">
        <v>1350</v>
      </c>
      <c r="E1205" s="161">
        <v>24</v>
      </c>
      <c r="F1205" s="161">
        <v>56</v>
      </c>
      <c r="G1205" s="161" t="s">
        <v>1144</v>
      </c>
      <c r="H1205" s="161" t="s">
        <v>1145</v>
      </c>
      <c r="I1205" s="161">
        <v>67</v>
      </c>
      <c r="J1205" s="161" t="s">
        <v>105</v>
      </c>
      <c r="K1205" s="21" t="s">
        <v>106</v>
      </c>
      <c r="L1205" s="161" t="s">
        <v>3380</v>
      </c>
      <c r="M1205" s="21" t="s">
        <v>107</v>
      </c>
      <c r="N1205" s="161" t="s">
        <v>108</v>
      </c>
      <c r="O1205" s="21" t="s">
        <v>68</v>
      </c>
      <c r="P1205" s="161" t="s">
        <v>109</v>
      </c>
      <c r="Q1205" s="21" t="s">
        <v>1137</v>
      </c>
      <c r="R1205" s="161" t="s">
        <v>59</v>
      </c>
      <c r="S1205" s="161" t="s">
        <v>1138</v>
      </c>
      <c r="T1205" s="161" t="s">
        <v>1139</v>
      </c>
      <c r="U1205" s="161" t="s">
        <v>73</v>
      </c>
      <c r="V1205" s="21" t="s">
        <v>74</v>
      </c>
      <c r="W1205" s="21" t="s">
        <v>762</v>
      </c>
      <c r="X1205" s="161" t="s">
        <v>787</v>
      </c>
      <c r="Y1205" s="161">
        <v>5.3949999999999996E-3</v>
      </c>
      <c r="Z1205" s="161">
        <v>1.3</v>
      </c>
      <c r="AA1205" s="161" t="s">
        <v>77</v>
      </c>
      <c r="AB1205" s="161" t="s">
        <v>114</v>
      </c>
      <c r="AC1205" s="266" t="str">
        <f>HYPERLINK("https://gcsvt.ru/svetodiodnyie-svetilniki/svt-str-m-24w-58-red/","Ссылка")</f>
        <v>Ссылка</v>
      </c>
      <c r="AD1205" s="167">
        <v>8004</v>
      </c>
    </row>
    <row r="1206" spans="1:30" s="161" customFormat="1" ht="39.950000000000003" hidden="1" customHeight="1" outlineLevel="1" x14ac:dyDescent="0.25">
      <c r="A1206" s="21"/>
      <c r="B1206" s="21" t="s">
        <v>1133</v>
      </c>
      <c r="C1206" s="159" t="s">
        <v>1146</v>
      </c>
      <c r="D1206" s="161">
        <v>2700</v>
      </c>
      <c r="E1206" s="161">
        <v>38</v>
      </c>
      <c r="F1206" s="161">
        <v>71</v>
      </c>
      <c r="G1206" s="161" t="s">
        <v>1147</v>
      </c>
      <c r="H1206" s="161" t="s">
        <v>1136</v>
      </c>
      <c r="I1206" s="161">
        <v>67</v>
      </c>
      <c r="J1206" s="161" t="s">
        <v>105</v>
      </c>
      <c r="K1206" s="21" t="s">
        <v>106</v>
      </c>
      <c r="L1206" s="161" t="s">
        <v>3380</v>
      </c>
      <c r="M1206" s="21" t="s">
        <v>107</v>
      </c>
      <c r="N1206" s="161" t="s">
        <v>108</v>
      </c>
      <c r="O1206" s="21" t="s">
        <v>68</v>
      </c>
      <c r="P1206" s="161" t="s">
        <v>109</v>
      </c>
      <c r="Q1206" s="21" t="s">
        <v>1137</v>
      </c>
      <c r="R1206" s="161" t="s">
        <v>59</v>
      </c>
      <c r="S1206" s="161" t="s">
        <v>1148</v>
      </c>
      <c r="T1206" s="161" t="s">
        <v>1139</v>
      </c>
      <c r="U1206" s="161" t="s">
        <v>73</v>
      </c>
      <c r="V1206" s="21" t="s">
        <v>74</v>
      </c>
      <c r="W1206" s="21" t="s">
        <v>762</v>
      </c>
      <c r="X1206" s="161" t="s">
        <v>820</v>
      </c>
      <c r="Y1206" s="161">
        <v>1.1440000000000001E-2</v>
      </c>
      <c r="Z1206" s="161">
        <v>1.8</v>
      </c>
      <c r="AA1206" s="161" t="s">
        <v>77</v>
      </c>
      <c r="AB1206" s="161" t="s">
        <v>114</v>
      </c>
      <c r="AC1206" s="266" t="str">
        <f>HYPERLINK("https://gcsvt.ru/svetodiodnyie-svetilniki/svt-str-m-38w-12-red/","Ссылка")</f>
        <v>Ссылка</v>
      </c>
      <c r="AD1206" s="167">
        <v>11115</v>
      </c>
    </row>
    <row r="1207" spans="1:30" s="161" customFormat="1" ht="39.950000000000003" hidden="1" customHeight="1" outlineLevel="1" x14ac:dyDescent="0.25">
      <c r="A1207" s="21"/>
      <c r="B1207" s="21" t="s">
        <v>1133</v>
      </c>
      <c r="C1207" s="159" t="s">
        <v>1149</v>
      </c>
      <c r="D1207" s="161">
        <v>2700</v>
      </c>
      <c r="E1207" s="161">
        <v>38</v>
      </c>
      <c r="F1207" s="161">
        <v>71</v>
      </c>
      <c r="G1207" s="161" t="s">
        <v>1150</v>
      </c>
      <c r="H1207" s="161" t="s">
        <v>1142</v>
      </c>
      <c r="I1207" s="161">
        <v>67</v>
      </c>
      <c r="J1207" s="161" t="s">
        <v>105</v>
      </c>
      <c r="K1207" s="21" t="s">
        <v>106</v>
      </c>
      <c r="L1207" s="161" t="s">
        <v>3380</v>
      </c>
      <c r="M1207" s="21" t="s">
        <v>107</v>
      </c>
      <c r="N1207" s="161" t="s">
        <v>108</v>
      </c>
      <c r="O1207" s="21" t="s">
        <v>68</v>
      </c>
      <c r="P1207" s="161" t="s">
        <v>109</v>
      </c>
      <c r="Q1207" s="21" t="s">
        <v>1137</v>
      </c>
      <c r="R1207" s="161" t="s">
        <v>59</v>
      </c>
      <c r="S1207" s="161" t="s">
        <v>1148</v>
      </c>
      <c r="T1207" s="161" t="s">
        <v>1139</v>
      </c>
      <c r="U1207" s="161" t="s">
        <v>73</v>
      </c>
      <c r="V1207" s="21" t="s">
        <v>74</v>
      </c>
      <c r="W1207" s="21" t="s">
        <v>762</v>
      </c>
      <c r="X1207" s="161" t="s">
        <v>820</v>
      </c>
      <c r="Y1207" s="161">
        <v>1.1440000000000001E-2</v>
      </c>
      <c r="Z1207" s="161">
        <v>1.8</v>
      </c>
      <c r="AA1207" s="161" t="s">
        <v>77</v>
      </c>
      <c r="AB1207" s="161" t="s">
        <v>114</v>
      </c>
      <c r="AC1207" s="266" t="str">
        <f>HYPERLINK("https://gcsvt.ru/svetodiodnyie-svetilniki/svt-str-m-38w-27-red/","Ссылка")</f>
        <v>Ссылка</v>
      </c>
      <c r="AD1207" s="167">
        <v>11115</v>
      </c>
    </row>
    <row r="1208" spans="1:30" s="161" customFormat="1" ht="39.950000000000003" hidden="1" customHeight="1" outlineLevel="1" x14ac:dyDescent="0.25">
      <c r="A1208" s="21"/>
      <c r="B1208" s="21" t="s">
        <v>1133</v>
      </c>
      <c r="C1208" s="159" t="s">
        <v>1151</v>
      </c>
      <c r="D1208" s="161">
        <v>2700</v>
      </c>
      <c r="E1208" s="161">
        <v>38</v>
      </c>
      <c r="F1208" s="161">
        <v>71</v>
      </c>
      <c r="G1208" s="161" t="s">
        <v>1152</v>
      </c>
      <c r="H1208" s="161" t="s">
        <v>1145</v>
      </c>
      <c r="I1208" s="161">
        <v>67</v>
      </c>
      <c r="J1208" s="161" t="s">
        <v>105</v>
      </c>
      <c r="K1208" s="21" t="s">
        <v>106</v>
      </c>
      <c r="L1208" s="161" t="s">
        <v>3380</v>
      </c>
      <c r="M1208" s="21" t="s">
        <v>107</v>
      </c>
      <c r="N1208" s="161" t="s">
        <v>108</v>
      </c>
      <c r="O1208" s="21" t="s">
        <v>68</v>
      </c>
      <c r="P1208" s="161" t="s">
        <v>109</v>
      </c>
      <c r="Q1208" s="21" t="s">
        <v>1137</v>
      </c>
      <c r="R1208" s="161" t="s">
        <v>59</v>
      </c>
      <c r="S1208" s="161" t="s">
        <v>1148</v>
      </c>
      <c r="T1208" s="161" t="s">
        <v>1139</v>
      </c>
      <c r="U1208" s="161" t="s">
        <v>73</v>
      </c>
      <c r="V1208" s="21" t="s">
        <v>74</v>
      </c>
      <c r="W1208" s="21" t="s">
        <v>762</v>
      </c>
      <c r="X1208" s="161" t="s">
        <v>820</v>
      </c>
      <c r="Y1208" s="161">
        <v>1.1440000000000001E-2</v>
      </c>
      <c r="Z1208" s="161">
        <v>1.8</v>
      </c>
      <c r="AA1208" s="161" t="s">
        <v>77</v>
      </c>
      <c r="AB1208" s="161" t="s">
        <v>114</v>
      </c>
      <c r="AC1208" s="266" t="str">
        <f>HYPERLINK("https://gcsvt.ru/svetodiodnyie-svetilniki/svt-str-m-38w-58-red/","Ссылка")</f>
        <v>Ссылка</v>
      </c>
      <c r="AD1208" s="167">
        <v>11115</v>
      </c>
    </row>
    <row r="1209" spans="1:30" s="161" customFormat="1" ht="39.950000000000003" hidden="1" customHeight="1" outlineLevel="1" x14ac:dyDescent="0.25">
      <c r="A1209" s="21"/>
      <c r="B1209" s="21" t="s">
        <v>1133</v>
      </c>
      <c r="C1209" s="159" t="s">
        <v>1153</v>
      </c>
      <c r="D1209" s="161">
        <v>4050</v>
      </c>
      <c r="E1209" s="161">
        <v>58</v>
      </c>
      <c r="F1209" s="161">
        <v>69</v>
      </c>
      <c r="G1209" s="161" t="s">
        <v>1154</v>
      </c>
      <c r="H1209" s="161" t="s">
        <v>1136</v>
      </c>
      <c r="I1209" s="161">
        <v>67</v>
      </c>
      <c r="J1209" s="161" t="s">
        <v>105</v>
      </c>
      <c r="K1209" s="21" t="s">
        <v>106</v>
      </c>
      <c r="L1209" s="161" t="s">
        <v>3380</v>
      </c>
      <c r="M1209" s="21" t="s">
        <v>107</v>
      </c>
      <c r="N1209" s="161" t="s">
        <v>108</v>
      </c>
      <c r="O1209" s="21" t="s">
        <v>68</v>
      </c>
      <c r="P1209" s="161" t="s">
        <v>109</v>
      </c>
      <c r="Q1209" s="21" t="s">
        <v>1137</v>
      </c>
      <c r="R1209" s="161" t="s">
        <v>59</v>
      </c>
      <c r="S1209" s="161" t="s">
        <v>1155</v>
      </c>
      <c r="T1209" s="161" t="s">
        <v>1139</v>
      </c>
      <c r="U1209" s="161" t="s">
        <v>73</v>
      </c>
      <c r="V1209" s="21" t="s">
        <v>74</v>
      </c>
      <c r="W1209" s="21" t="s">
        <v>762</v>
      </c>
      <c r="X1209" s="161" t="s">
        <v>853</v>
      </c>
      <c r="Y1209" s="161">
        <v>1.6951999999999998E-2</v>
      </c>
      <c r="Z1209" s="161">
        <v>2.6</v>
      </c>
      <c r="AA1209" s="161" t="s">
        <v>77</v>
      </c>
      <c r="AB1209" s="161" t="s">
        <v>114</v>
      </c>
      <c r="AC1209" s="266" t="str">
        <f>HYPERLINK("https://gcsvt.ru/svetodiodnyie-svetilniki/svt-str-m-58w-12-red/","Ссылка")</f>
        <v>Ссылка</v>
      </c>
      <c r="AD1209" s="167">
        <v>19401</v>
      </c>
    </row>
    <row r="1210" spans="1:30" s="161" customFormat="1" ht="39.950000000000003" hidden="1" customHeight="1" outlineLevel="1" x14ac:dyDescent="0.25">
      <c r="A1210" s="21"/>
      <c r="B1210" s="21" t="s">
        <v>1133</v>
      </c>
      <c r="C1210" s="159" t="s">
        <v>1156</v>
      </c>
      <c r="D1210" s="161">
        <v>4050</v>
      </c>
      <c r="E1210" s="161">
        <v>58</v>
      </c>
      <c r="F1210" s="161">
        <v>69</v>
      </c>
      <c r="G1210" s="161" t="s">
        <v>1157</v>
      </c>
      <c r="H1210" s="161" t="s">
        <v>1142</v>
      </c>
      <c r="I1210" s="161">
        <v>67</v>
      </c>
      <c r="J1210" s="161" t="s">
        <v>105</v>
      </c>
      <c r="K1210" s="21" t="s">
        <v>106</v>
      </c>
      <c r="L1210" s="161" t="s">
        <v>3380</v>
      </c>
      <c r="M1210" s="21" t="s">
        <v>107</v>
      </c>
      <c r="N1210" s="161" t="s">
        <v>108</v>
      </c>
      <c r="O1210" s="21" t="s">
        <v>68</v>
      </c>
      <c r="P1210" s="161" t="s">
        <v>109</v>
      </c>
      <c r="Q1210" s="21" t="s">
        <v>1137</v>
      </c>
      <c r="R1210" s="161" t="s">
        <v>59</v>
      </c>
      <c r="S1210" s="161" t="s">
        <v>1155</v>
      </c>
      <c r="T1210" s="161" t="s">
        <v>1139</v>
      </c>
      <c r="U1210" s="161" t="s">
        <v>73</v>
      </c>
      <c r="V1210" s="21" t="s">
        <v>74</v>
      </c>
      <c r="W1210" s="21" t="s">
        <v>762</v>
      </c>
      <c r="X1210" s="161" t="s">
        <v>853</v>
      </c>
      <c r="Y1210" s="161">
        <v>1.6951999999999998E-2</v>
      </c>
      <c r="Z1210" s="161">
        <v>2.6</v>
      </c>
      <c r="AA1210" s="161" t="s">
        <v>77</v>
      </c>
      <c r="AB1210" s="161" t="s">
        <v>114</v>
      </c>
      <c r="AC1210" s="266" t="str">
        <f>HYPERLINK("https://gcsvt.ru/svetodiodnyie-svetilniki/svt-str-m-58w-27-red/","Ссылка")</f>
        <v>Ссылка</v>
      </c>
      <c r="AD1210" s="167">
        <v>19401</v>
      </c>
    </row>
    <row r="1211" spans="1:30" s="161" customFormat="1" ht="39.950000000000003" hidden="1" customHeight="1" outlineLevel="1" x14ac:dyDescent="0.25">
      <c r="A1211" s="21"/>
      <c r="B1211" s="21" t="s">
        <v>1133</v>
      </c>
      <c r="C1211" s="159" t="s">
        <v>1158</v>
      </c>
      <c r="D1211" s="161">
        <v>4050</v>
      </c>
      <c r="E1211" s="161">
        <v>58</v>
      </c>
      <c r="F1211" s="161">
        <v>69</v>
      </c>
      <c r="G1211" s="161" t="s">
        <v>1159</v>
      </c>
      <c r="H1211" s="161" t="s">
        <v>1145</v>
      </c>
      <c r="I1211" s="161">
        <v>67</v>
      </c>
      <c r="J1211" s="161" t="s">
        <v>105</v>
      </c>
      <c r="K1211" s="21" t="s">
        <v>106</v>
      </c>
      <c r="L1211" s="161" t="s">
        <v>3380</v>
      </c>
      <c r="M1211" s="21" t="s">
        <v>107</v>
      </c>
      <c r="N1211" s="161" t="s">
        <v>108</v>
      </c>
      <c r="O1211" s="21" t="s">
        <v>68</v>
      </c>
      <c r="P1211" s="161" t="s">
        <v>109</v>
      </c>
      <c r="Q1211" s="21" t="s">
        <v>1137</v>
      </c>
      <c r="R1211" s="161" t="s">
        <v>59</v>
      </c>
      <c r="S1211" s="161" t="s">
        <v>1155</v>
      </c>
      <c r="T1211" s="161" t="s">
        <v>1139</v>
      </c>
      <c r="U1211" s="161" t="s">
        <v>73</v>
      </c>
      <c r="V1211" s="21" t="s">
        <v>74</v>
      </c>
      <c r="W1211" s="21" t="s">
        <v>762</v>
      </c>
      <c r="X1211" s="161" t="s">
        <v>853</v>
      </c>
      <c r="Y1211" s="161">
        <v>1.6951999999999998E-2</v>
      </c>
      <c r="Z1211" s="161">
        <v>2.6</v>
      </c>
      <c r="AA1211" s="161" t="s">
        <v>77</v>
      </c>
      <c r="AB1211" s="161" t="s">
        <v>114</v>
      </c>
      <c r="AC1211" s="266" t="str">
        <f>HYPERLINK("https://gcsvt.ru/svetodiodnyie-svetilniki/svt-str-m-58w-58-red/","Ссылка")</f>
        <v>Ссылка</v>
      </c>
      <c r="AD1211" s="167">
        <v>19401</v>
      </c>
    </row>
    <row r="1212" spans="1:30" s="161" customFormat="1" ht="39.950000000000003" hidden="1" customHeight="1" outlineLevel="1" x14ac:dyDescent="0.25">
      <c r="A1212" s="21"/>
      <c r="B1212" s="21" t="s">
        <v>1133</v>
      </c>
      <c r="C1212" s="159" t="s">
        <v>1160</v>
      </c>
      <c r="D1212" s="161">
        <v>2000</v>
      </c>
      <c r="E1212" s="161">
        <v>30</v>
      </c>
      <c r="F1212" s="161">
        <v>66</v>
      </c>
      <c r="G1212" s="161" t="s">
        <v>1161</v>
      </c>
      <c r="H1212" s="161" t="s">
        <v>1136</v>
      </c>
      <c r="I1212" s="161">
        <v>67</v>
      </c>
      <c r="J1212" s="161" t="s">
        <v>105</v>
      </c>
      <c r="K1212" s="21" t="s">
        <v>106</v>
      </c>
      <c r="L1212" s="161" t="s">
        <v>3380</v>
      </c>
      <c r="M1212" s="21" t="s">
        <v>107</v>
      </c>
      <c r="N1212" s="161" t="s">
        <v>108</v>
      </c>
      <c r="O1212" s="21" t="s">
        <v>68</v>
      </c>
      <c r="P1212" s="161" t="s">
        <v>109</v>
      </c>
      <c r="Q1212" s="21" t="s">
        <v>1162</v>
      </c>
      <c r="R1212" s="161" t="s">
        <v>59</v>
      </c>
      <c r="S1212" s="161" t="s">
        <v>1138</v>
      </c>
      <c r="T1212" s="161" t="s">
        <v>1139</v>
      </c>
      <c r="U1212" s="161" t="s">
        <v>73</v>
      </c>
      <c r="V1212" s="21" t="s">
        <v>74</v>
      </c>
      <c r="W1212" s="21" t="s">
        <v>762</v>
      </c>
      <c r="X1212" s="161" t="s">
        <v>787</v>
      </c>
      <c r="Y1212" s="161">
        <v>5.3949999999999996E-3</v>
      </c>
      <c r="Z1212" s="161">
        <v>1.3</v>
      </c>
      <c r="AA1212" s="161" t="s">
        <v>77</v>
      </c>
      <c r="AB1212" s="161" t="s">
        <v>114</v>
      </c>
      <c r="AC1212" s="266" t="str">
        <f>HYPERLINK("https://gcsvt.ru/svetodiodnyie-svetilniki/svt-str-m-30w-12-green/","Ссылка")</f>
        <v>Ссылка</v>
      </c>
      <c r="AD1212" s="167">
        <v>8004</v>
      </c>
    </row>
    <row r="1213" spans="1:30" s="161" customFormat="1" ht="39.950000000000003" hidden="1" customHeight="1" outlineLevel="1" x14ac:dyDescent="0.25">
      <c r="A1213" s="21"/>
      <c r="B1213" s="21" t="s">
        <v>1133</v>
      </c>
      <c r="C1213" s="159" t="s">
        <v>1163</v>
      </c>
      <c r="D1213" s="161">
        <v>2000</v>
      </c>
      <c r="E1213" s="161">
        <v>30</v>
      </c>
      <c r="F1213" s="161">
        <v>66</v>
      </c>
      <c r="G1213" s="161" t="s">
        <v>1164</v>
      </c>
      <c r="H1213" s="161" t="s">
        <v>1142</v>
      </c>
      <c r="I1213" s="161">
        <v>67</v>
      </c>
      <c r="J1213" s="161" t="s">
        <v>105</v>
      </c>
      <c r="K1213" s="21" t="s">
        <v>106</v>
      </c>
      <c r="L1213" s="161" t="s">
        <v>3380</v>
      </c>
      <c r="M1213" s="21" t="s">
        <v>107</v>
      </c>
      <c r="N1213" s="161" t="s">
        <v>108</v>
      </c>
      <c r="O1213" s="21" t="s">
        <v>68</v>
      </c>
      <c r="P1213" s="161" t="s">
        <v>109</v>
      </c>
      <c r="Q1213" s="21" t="s">
        <v>1162</v>
      </c>
      <c r="R1213" s="161" t="s">
        <v>59</v>
      </c>
      <c r="S1213" s="161" t="s">
        <v>1138</v>
      </c>
      <c r="T1213" s="161" t="s">
        <v>1139</v>
      </c>
      <c r="U1213" s="161" t="s">
        <v>73</v>
      </c>
      <c r="V1213" s="21" t="s">
        <v>74</v>
      </c>
      <c r="W1213" s="21" t="s">
        <v>762</v>
      </c>
      <c r="X1213" s="161" t="s">
        <v>787</v>
      </c>
      <c r="Y1213" s="161">
        <v>5.3949999999999996E-3</v>
      </c>
      <c r="Z1213" s="161">
        <v>1.3</v>
      </c>
      <c r="AA1213" s="161" t="s">
        <v>77</v>
      </c>
      <c r="AB1213" s="161" t="s">
        <v>114</v>
      </c>
      <c r="AC1213" s="266" t="str">
        <f>HYPERLINK("https://gcsvt.ru/svetodiodnyie-svetilniki/svt-str-m-30w-27-green/","Ссылка")</f>
        <v>Ссылка</v>
      </c>
      <c r="AD1213" s="167">
        <v>8004</v>
      </c>
    </row>
    <row r="1214" spans="1:30" s="161" customFormat="1" ht="39.950000000000003" hidden="1" customHeight="1" outlineLevel="1" x14ac:dyDescent="0.25">
      <c r="A1214" s="21"/>
      <c r="B1214" s="21" t="s">
        <v>1133</v>
      </c>
      <c r="C1214" s="159" t="s">
        <v>1165</v>
      </c>
      <c r="D1214" s="161">
        <v>2000</v>
      </c>
      <c r="E1214" s="161">
        <v>30</v>
      </c>
      <c r="F1214" s="161">
        <v>66</v>
      </c>
      <c r="G1214" s="161" t="s">
        <v>1166</v>
      </c>
      <c r="H1214" s="161" t="s">
        <v>1145</v>
      </c>
      <c r="I1214" s="161">
        <v>67</v>
      </c>
      <c r="J1214" s="161" t="s">
        <v>105</v>
      </c>
      <c r="K1214" s="21" t="s">
        <v>106</v>
      </c>
      <c r="L1214" s="161" t="s">
        <v>3380</v>
      </c>
      <c r="M1214" s="21" t="s">
        <v>107</v>
      </c>
      <c r="N1214" s="161" t="s">
        <v>108</v>
      </c>
      <c r="O1214" s="21" t="s">
        <v>68</v>
      </c>
      <c r="P1214" s="161" t="s">
        <v>109</v>
      </c>
      <c r="Q1214" s="21" t="s">
        <v>1162</v>
      </c>
      <c r="R1214" s="161" t="s">
        <v>59</v>
      </c>
      <c r="S1214" s="161" t="s">
        <v>1138</v>
      </c>
      <c r="T1214" s="161" t="s">
        <v>1139</v>
      </c>
      <c r="U1214" s="161" t="s">
        <v>73</v>
      </c>
      <c r="V1214" s="21" t="s">
        <v>74</v>
      </c>
      <c r="W1214" s="21" t="s">
        <v>762</v>
      </c>
      <c r="X1214" s="161" t="s">
        <v>787</v>
      </c>
      <c r="Y1214" s="161">
        <v>5.3949999999999996E-3</v>
      </c>
      <c r="Z1214" s="161">
        <v>1.3</v>
      </c>
      <c r="AA1214" s="161" t="s">
        <v>77</v>
      </c>
      <c r="AB1214" s="161" t="s">
        <v>114</v>
      </c>
      <c r="AC1214" s="266" t="str">
        <f>HYPERLINK("https://gcsvt.ru/svetodiodnyie-svetilniki/svt-str-m-30w-58-green/","Ссылка")</f>
        <v>Ссылка</v>
      </c>
      <c r="AD1214" s="167">
        <v>8004</v>
      </c>
    </row>
    <row r="1215" spans="1:30" s="161" customFormat="1" ht="39.950000000000003" hidden="1" customHeight="1" outlineLevel="1" x14ac:dyDescent="0.25">
      <c r="A1215" s="21"/>
      <c r="B1215" s="21" t="s">
        <v>1133</v>
      </c>
      <c r="C1215" s="159" t="s">
        <v>1167</v>
      </c>
      <c r="D1215" s="161">
        <v>4000</v>
      </c>
      <c r="E1215" s="161">
        <v>60</v>
      </c>
      <c r="F1215" s="161">
        <v>66</v>
      </c>
      <c r="G1215" s="161" t="s">
        <v>1168</v>
      </c>
      <c r="H1215" s="161" t="s">
        <v>1136</v>
      </c>
      <c r="I1215" s="161">
        <v>67</v>
      </c>
      <c r="J1215" s="161" t="s">
        <v>105</v>
      </c>
      <c r="K1215" s="21" t="s">
        <v>106</v>
      </c>
      <c r="L1215" s="161" t="s">
        <v>3380</v>
      </c>
      <c r="M1215" s="21" t="s">
        <v>107</v>
      </c>
      <c r="N1215" s="161" t="s">
        <v>108</v>
      </c>
      <c r="O1215" s="21" t="s">
        <v>68</v>
      </c>
      <c r="P1215" s="161" t="s">
        <v>109</v>
      </c>
      <c r="Q1215" s="21" t="s">
        <v>1162</v>
      </c>
      <c r="R1215" s="161" t="s">
        <v>59</v>
      </c>
      <c r="S1215" s="161" t="s">
        <v>1148</v>
      </c>
      <c r="T1215" s="161" t="s">
        <v>1139</v>
      </c>
      <c r="U1215" s="161" t="s">
        <v>73</v>
      </c>
      <c r="V1215" s="21" t="s">
        <v>74</v>
      </c>
      <c r="W1215" s="21" t="s">
        <v>762</v>
      </c>
      <c r="X1215" s="161" t="s">
        <v>820</v>
      </c>
      <c r="Y1215" s="161">
        <v>1.1440000000000001E-2</v>
      </c>
      <c r="Z1215" s="161">
        <v>1.8</v>
      </c>
      <c r="AA1215" s="161" t="s">
        <v>77</v>
      </c>
      <c r="AB1215" s="161" t="s">
        <v>114</v>
      </c>
      <c r="AC1215" s="266" t="str">
        <f>HYPERLINK("https://gcsvt.ru/svetodiodnyie-svetilniki/svt-str-m-60w-12-green/","Ссылка")</f>
        <v>Ссылка</v>
      </c>
      <c r="AD1215" s="167">
        <v>11217</v>
      </c>
    </row>
    <row r="1216" spans="1:30" s="161" customFormat="1" ht="39.950000000000003" hidden="1" customHeight="1" outlineLevel="1" x14ac:dyDescent="0.25">
      <c r="A1216" s="21"/>
      <c r="B1216" s="21" t="s">
        <v>1133</v>
      </c>
      <c r="C1216" s="159" t="s">
        <v>1169</v>
      </c>
      <c r="D1216" s="161">
        <v>4000</v>
      </c>
      <c r="E1216" s="161">
        <v>60</v>
      </c>
      <c r="F1216" s="161">
        <v>66</v>
      </c>
      <c r="G1216" s="161" t="s">
        <v>1170</v>
      </c>
      <c r="H1216" s="161" t="s">
        <v>1142</v>
      </c>
      <c r="I1216" s="161">
        <v>67</v>
      </c>
      <c r="J1216" s="161" t="s">
        <v>105</v>
      </c>
      <c r="K1216" s="21" t="s">
        <v>106</v>
      </c>
      <c r="L1216" s="161" t="s">
        <v>3380</v>
      </c>
      <c r="M1216" s="21" t="s">
        <v>107</v>
      </c>
      <c r="N1216" s="161" t="s">
        <v>108</v>
      </c>
      <c r="O1216" s="21" t="s">
        <v>68</v>
      </c>
      <c r="P1216" s="161" t="s">
        <v>109</v>
      </c>
      <c r="Q1216" s="21" t="s">
        <v>1162</v>
      </c>
      <c r="R1216" s="161" t="s">
        <v>59</v>
      </c>
      <c r="S1216" s="161" t="s">
        <v>1148</v>
      </c>
      <c r="T1216" s="161" t="s">
        <v>1139</v>
      </c>
      <c r="U1216" s="161" t="s">
        <v>73</v>
      </c>
      <c r="V1216" s="21" t="s">
        <v>74</v>
      </c>
      <c r="W1216" s="21" t="s">
        <v>762</v>
      </c>
      <c r="X1216" s="161" t="s">
        <v>820</v>
      </c>
      <c r="Y1216" s="161">
        <v>1.1440000000000001E-2</v>
      </c>
      <c r="Z1216" s="161">
        <v>1.8</v>
      </c>
      <c r="AA1216" s="161" t="s">
        <v>77</v>
      </c>
      <c r="AB1216" s="161" t="s">
        <v>114</v>
      </c>
      <c r="AC1216" s="266" t="str">
        <f>HYPERLINK("https://gcsvt.ru/svetodiodnyie-svetilniki/svt-str-m-60w-27-green/","Ссылка")</f>
        <v>Ссылка</v>
      </c>
      <c r="AD1216" s="167">
        <v>11217</v>
      </c>
    </row>
    <row r="1217" spans="1:30" s="161" customFormat="1" ht="39.950000000000003" hidden="1" customHeight="1" outlineLevel="1" x14ac:dyDescent="0.25">
      <c r="A1217" s="21"/>
      <c r="B1217" s="21" t="s">
        <v>1133</v>
      </c>
      <c r="C1217" s="159" t="s">
        <v>1171</v>
      </c>
      <c r="D1217" s="161">
        <v>4000</v>
      </c>
      <c r="E1217" s="161">
        <v>60</v>
      </c>
      <c r="F1217" s="161">
        <v>66</v>
      </c>
      <c r="G1217" s="161" t="s">
        <v>1172</v>
      </c>
      <c r="H1217" s="161" t="s">
        <v>1145</v>
      </c>
      <c r="I1217" s="161">
        <v>67</v>
      </c>
      <c r="J1217" s="161" t="s">
        <v>105</v>
      </c>
      <c r="K1217" s="21" t="s">
        <v>106</v>
      </c>
      <c r="L1217" s="161" t="s">
        <v>3380</v>
      </c>
      <c r="M1217" s="21" t="s">
        <v>107</v>
      </c>
      <c r="N1217" s="161" t="s">
        <v>108</v>
      </c>
      <c r="O1217" s="21" t="s">
        <v>68</v>
      </c>
      <c r="P1217" s="161" t="s">
        <v>109</v>
      </c>
      <c r="Q1217" s="21" t="s">
        <v>1162</v>
      </c>
      <c r="R1217" s="161" t="s">
        <v>59</v>
      </c>
      <c r="S1217" s="161" t="s">
        <v>1148</v>
      </c>
      <c r="T1217" s="161" t="s">
        <v>1139</v>
      </c>
      <c r="U1217" s="161" t="s">
        <v>73</v>
      </c>
      <c r="V1217" s="21" t="s">
        <v>74</v>
      </c>
      <c r="W1217" s="21" t="s">
        <v>762</v>
      </c>
      <c r="X1217" s="161" t="s">
        <v>820</v>
      </c>
      <c r="Y1217" s="161">
        <v>1.1440000000000001E-2</v>
      </c>
      <c r="Z1217" s="161">
        <v>1.8</v>
      </c>
      <c r="AA1217" s="161" t="s">
        <v>77</v>
      </c>
      <c r="AB1217" s="161" t="s">
        <v>114</v>
      </c>
      <c r="AC1217" s="266" t="str">
        <f>HYPERLINK("https://gcsvt.ru/svetodiodnyie-svetilniki/svt-str-m-60w-58-green/","Ссылка")</f>
        <v>Ссылка</v>
      </c>
      <c r="AD1217" s="167">
        <v>11217</v>
      </c>
    </row>
    <row r="1218" spans="1:30" s="161" customFormat="1" ht="39.950000000000003" hidden="1" customHeight="1" outlineLevel="1" x14ac:dyDescent="0.25">
      <c r="A1218" s="21"/>
      <c r="B1218" s="21" t="s">
        <v>1133</v>
      </c>
      <c r="C1218" s="159" t="s">
        <v>1173</v>
      </c>
      <c r="D1218" s="161">
        <v>6000</v>
      </c>
      <c r="E1218" s="161">
        <v>90</v>
      </c>
      <c r="F1218" s="161">
        <v>66</v>
      </c>
      <c r="G1218" s="161" t="s">
        <v>1174</v>
      </c>
      <c r="H1218" s="161" t="s">
        <v>1136</v>
      </c>
      <c r="I1218" s="161">
        <v>67</v>
      </c>
      <c r="J1218" s="161" t="s">
        <v>105</v>
      </c>
      <c r="K1218" s="21" t="s">
        <v>106</v>
      </c>
      <c r="L1218" s="161" t="s">
        <v>3380</v>
      </c>
      <c r="M1218" s="21" t="s">
        <v>107</v>
      </c>
      <c r="N1218" s="161" t="s">
        <v>108</v>
      </c>
      <c r="O1218" s="21" t="s">
        <v>68</v>
      </c>
      <c r="P1218" s="161" t="s">
        <v>109</v>
      </c>
      <c r="Q1218" s="21" t="s">
        <v>1162</v>
      </c>
      <c r="R1218" s="161" t="s">
        <v>59</v>
      </c>
      <c r="S1218" s="161" t="s">
        <v>1155</v>
      </c>
      <c r="T1218" s="161" t="s">
        <v>1139</v>
      </c>
      <c r="U1218" s="161" t="s">
        <v>73</v>
      </c>
      <c r="V1218" s="21" t="s">
        <v>74</v>
      </c>
      <c r="W1218" s="21" t="s">
        <v>762</v>
      </c>
      <c r="X1218" s="161" t="s">
        <v>853</v>
      </c>
      <c r="Y1218" s="161">
        <v>1.6951999999999998E-2</v>
      </c>
      <c r="Z1218" s="161">
        <v>2.6</v>
      </c>
      <c r="AA1218" s="161" t="s">
        <v>77</v>
      </c>
      <c r="AB1218" s="161" t="s">
        <v>114</v>
      </c>
      <c r="AC1218" s="266" t="str">
        <f>HYPERLINK("https://gcsvt.ru/svetodiodnyie-svetilniki/svt-str-m-90w-12-green/","Ссылка")</f>
        <v>Ссылка</v>
      </c>
      <c r="AD1218" s="167">
        <v>19221</v>
      </c>
    </row>
    <row r="1219" spans="1:30" s="161" customFormat="1" ht="39.950000000000003" hidden="1" customHeight="1" outlineLevel="1" x14ac:dyDescent="0.25">
      <c r="A1219" s="21"/>
      <c r="B1219" s="21" t="s">
        <v>1133</v>
      </c>
      <c r="C1219" s="159" t="s">
        <v>1175</v>
      </c>
      <c r="D1219" s="161">
        <v>6000</v>
      </c>
      <c r="E1219" s="161">
        <v>90</v>
      </c>
      <c r="F1219" s="161">
        <v>66</v>
      </c>
      <c r="G1219" s="161" t="s">
        <v>1176</v>
      </c>
      <c r="H1219" s="161" t="s">
        <v>1142</v>
      </c>
      <c r="I1219" s="161">
        <v>67</v>
      </c>
      <c r="J1219" s="161" t="s">
        <v>105</v>
      </c>
      <c r="K1219" s="21" t="s">
        <v>106</v>
      </c>
      <c r="L1219" s="161" t="s">
        <v>3380</v>
      </c>
      <c r="M1219" s="21" t="s">
        <v>107</v>
      </c>
      <c r="N1219" s="161" t="s">
        <v>108</v>
      </c>
      <c r="O1219" s="21" t="s">
        <v>68</v>
      </c>
      <c r="P1219" s="161" t="s">
        <v>109</v>
      </c>
      <c r="Q1219" s="21" t="s">
        <v>1162</v>
      </c>
      <c r="R1219" s="161" t="s">
        <v>59</v>
      </c>
      <c r="S1219" s="161" t="s">
        <v>1155</v>
      </c>
      <c r="T1219" s="161" t="s">
        <v>1139</v>
      </c>
      <c r="U1219" s="161" t="s">
        <v>73</v>
      </c>
      <c r="V1219" s="21" t="s">
        <v>74</v>
      </c>
      <c r="W1219" s="21" t="s">
        <v>762</v>
      </c>
      <c r="X1219" s="161" t="s">
        <v>853</v>
      </c>
      <c r="Y1219" s="161">
        <v>1.6951999999999998E-2</v>
      </c>
      <c r="Z1219" s="161">
        <v>2.6</v>
      </c>
      <c r="AA1219" s="161" t="s">
        <v>77</v>
      </c>
      <c r="AB1219" s="161" t="s">
        <v>114</v>
      </c>
      <c r="AC1219" s="266" t="str">
        <f>HYPERLINK("https://gcsvt.ru/svetodiodnyie-svetilniki/svt-str-m-90w-27-green/","Ссылка")</f>
        <v>Ссылка</v>
      </c>
      <c r="AD1219" s="167">
        <v>19221</v>
      </c>
    </row>
    <row r="1220" spans="1:30" s="161" customFormat="1" ht="39.950000000000003" hidden="1" customHeight="1" outlineLevel="1" x14ac:dyDescent="0.25">
      <c r="A1220" s="21"/>
      <c r="B1220" s="21" t="s">
        <v>1133</v>
      </c>
      <c r="C1220" s="159" t="s">
        <v>1177</v>
      </c>
      <c r="D1220" s="161">
        <v>6000</v>
      </c>
      <c r="E1220" s="161">
        <v>90</v>
      </c>
      <c r="F1220" s="161">
        <v>66</v>
      </c>
      <c r="G1220" s="161" t="s">
        <v>1178</v>
      </c>
      <c r="H1220" s="161" t="s">
        <v>1145</v>
      </c>
      <c r="I1220" s="161">
        <v>67</v>
      </c>
      <c r="J1220" s="161" t="s">
        <v>105</v>
      </c>
      <c r="K1220" s="21" t="s">
        <v>106</v>
      </c>
      <c r="L1220" s="161" t="s">
        <v>3380</v>
      </c>
      <c r="M1220" s="21" t="s">
        <v>107</v>
      </c>
      <c r="N1220" s="161" t="s">
        <v>108</v>
      </c>
      <c r="O1220" s="21" t="s">
        <v>68</v>
      </c>
      <c r="P1220" s="161" t="s">
        <v>109</v>
      </c>
      <c r="Q1220" s="21" t="s">
        <v>1162</v>
      </c>
      <c r="R1220" s="161" t="s">
        <v>59</v>
      </c>
      <c r="S1220" s="161" t="s">
        <v>1155</v>
      </c>
      <c r="T1220" s="161" t="s">
        <v>1139</v>
      </c>
      <c r="U1220" s="161" t="s">
        <v>73</v>
      </c>
      <c r="V1220" s="21" t="s">
        <v>74</v>
      </c>
      <c r="W1220" s="21" t="s">
        <v>762</v>
      </c>
      <c r="X1220" s="161" t="s">
        <v>853</v>
      </c>
      <c r="Y1220" s="161">
        <v>1.6951999999999998E-2</v>
      </c>
      <c r="Z1220" s="161">
        <v>2.6</v>
      </c>
      <c r="AA1220" s="161" t="s">
        <v>77</v>
      </c>
      <c r="AB1220" s="161" t="s">
        <v>114</v>
      </c>
      <c r="AC1220" s="266" t="str">
        <f>HYPERLINK("https://gcsvt.ru/svetodiodnyie-svetilniki/svt-str-m-90w-58-green/","Ссылка")</f>
        <v>Ссылка</v>
      </c>
      <c r="AD1220" s="167">
        <v>19221</v>
      </c>
    </row>
    <row r="1221" spans="1:30" s="161" customFormat="1" ht="39.950000000000003" hidden="1" customHeight="1" outlineLevel="1" x14ac:dyDescent="0.25">
      <c r="A1221" s="21"/>
      <c r="B1221" s="21" t="s">
        <v>1133</v>
      </c>
      <c r="C1221" s="159" t="s">
        <v>1179</v>
      </c>
      <c r="D1221" s="161">
        <v>570</v>
      </c>
      <c r="E1221" s="161">
        <v>30</v>
      </c>
      <c r="F1221" s="161">
        <v>19</v>
      </c>
      <c r="G1221" s="161" t="s">
        <v>1180</v>
      </c>
      <c r="H1221" s="161" t="s">
        <v>1136</v>
      </c>
      <c r="I1221" s="161">
        <v>67</v>
      </c>
      <c r="J1221" s="161" t="s">
        <v>105</v>
      </c>
      <c r="K1221" s="21" t="s">
        <v>106</v>
      </c>
      <c r="L1221" s="161" t="s">
        <v>3380</v>
      </c>
      <c r="M1221" s="21" t="s">
        <v>107</v>
      </c>
      <c r="N1221" s="161" t="s">
        <v>108</v>
      </c>
      <c r="O1221" s="21" t="s">
        <v>68</v>
      </c>
      <c r="P1221" s="161" t="s">
        <v>109</v>
      </c>
      <c r="Q1221" s="21" t="s">
        <v>1181</v>
      </c>
      <c r="R1221" s="161" t="s">
        <v>59</v>
      </c>
      <c r="S1221" s="161" t="s">
        <v>1138</v>
      </c>
      <c r="T1221" s="161" t="s">
        <v>1139</v>
      </c>
      <c r="U1221" s="161" t="s">
        <v>73</v>
      </c>
      <c r="V1221" s="21" t="s">
        <v>74</v>
      </c>
      <c r="W1221" s="21" t="s">
        <v>762</v>
      </c>
      <c r="X1221" s="161" t="s">
        <v>787</v>
      </c>
      <c r="Y1221" s="161">
        <v>5.3949999999999996E-3</v>
      </c>
      <c r="Z1221" s="161">
        <v>1.3</v>
      </c>
      <c r="AA1221" s="161" t="s">
        <v>77</v>
      </c>
      <c r="AB1221" s="161" t="s">
        <v>114</v>
      </c>
      <c r="AC1221" s="266" t="str">
        <f>HYPERLINK("https://gcsvt.ru/svetodiodnyie-svetilniki/svt-str-m-30w-12-blue/","Ссылка")</f>
        <v>Ссылка</v>
      </c>
      <c r="AD1221" s="167">
        <v>7948</v>
      </c>
    </row>
    <row r="1222" spans="1:30" s="161" customFormat="1" ht="39.950000000000003" hidden="1" customHeight="1" outlineLevel="1" x14ac:dyDescent="0.25">
      <c r="A1222" s="21"/>
      <c r="B1222" s="21" t="s">
        <v>1133</v>
      </c>
      <c r="C1222" s="159" t="s">
        <v>1182</v>
      </c>
      <c r="D1222" s="161">
        <v>570</v>
      </c>
      <c r="E1222" s="161">
        <v>30</v>
      </c>
      <c r="F1222" s="161">
        <v>19</v>
      </c>
      <c r="G1222" s="161" t="s">
        <v>1183</v>
      </c>
      <c r="H1222" s="161" t="s">
        <v>1142</v>
      </c>
      <c r="I1222" s="161">
        <v>67</v>
      </c>
      <c r="J1222" s="161" t="s">
        <v>105</v>
      </c>
      <c r="K1222" s="21" t="s">
        <v>106</v>
      </c>
      <c r="L1222" s="161" t="s">
        <v>3380</v>
      </c>
      <c r="M1222" s="21" t="s">
        <v>107</v>
      </c>
      <c r="N1222" s="161" t="s">
        <v>108</v>
      </c>
      <c r="O1222" s="21" t="s">
        <v>68</v>
      </c>
      <c r="P1222" s="161" t="s">
        <v>109</v>
      </c>
      <c r="Q1222" s="21" t="s">
        <v>1181</v>
      </c>
      <c r="R1222" s="161" t="s">
        <v>59</v>
      </c>
      <c r="S1222" s="161" t="s">
        <v>1138</v>
      </c>
      <c r="T1222" s="161" t="s">
        <v>1139</v>
      </c>
      <c r="U1222" s="161" t="s">
        <v>73</v>
      </c>
      <c r="V1222" s="21" t="s">
        <v>74</v>
      </c>
      <c r="W1222" s="21" t="s">
        <v>762</v>
      </c>
      <c r="X1222" s="161" t="s">
        <v>787</v>
      </c>
      <c r="Y1222" s="161">
        <v>5.3949999999999996E-3</v>
      </c>
      <c r="Z1222" s="161">
        <v>1.3</v>
      </c>
      <c r="AA1222" s="161" t="s">
        <v>77</v>
      </c>
      <c r="AB1222" s="161" t="s">
        <v>114</v>
      </c>
      <c r="AC1222" s="266" t="str">
        <f>HYPERLINK("https://gcsvt.ru/svetodiodnyie-svetilniki/svt-str-m-30w-27-blue/","Ссылка")</f>
        <v>Ссылка</v>
      </c>
      <c r="AD1222" s="167">
        <v>7948</v>
      </c>
    </row>
    <row r="1223" spans="1:30" s="161" customFormat="1" ht="39.950000000000003" hidden="1" customHeight="1" outlineLevel="1" x14ac:dyDescent="0.25">
      <c r="A1223" s="21"/>
      <c r="B1223" s="21" t="s">
        <v>1133</v>
      </c>
      <c r="C1223" s="159" t="s">
        <v>1184</v>
      </c>
      <c r="D1223" s="161">
        <v>570</v>
      </c>
      <c r="E1223" s="161">
        <v>30</v>
      </c>
      <c r="F1223" s="161">
        <v>19</v>
      </c>
      <c r="G1223" s="161" t="s">
        <v>1185</v>
      </c>
      <c r="H1223" s="161" t="s">
        <v>1145</v>
      </c>
      <c r="I1223" s="161">
        <v>67</v>
      </c>
      <c r="J1223" s="161" t="s">
        <v>105</v>
      </c>
      <c r="K1223" s="21" t="s">
        <v>106</v>
      </c>
      <c r="L1223" s="161" t="s">
        <v>3380</v>
      </c>
      <c r="M1223" s="21" t="s">
        <v>107</v>
      </c>
      <c r="N1223" s="161" t="s">
        <v>108</v>
      </c>
      <c r="O1223" s="21" t="s">
        <v>68</v>
      </c>
      <c r="P1223" s="161" t="s">
        <v>109</v>
      </c>
      <c r="Q1223" s="21" t="s">
        <v>1181</v>
      </c>
      <c r="R1223" s="161" t="s">
        <v>59</v>
      </c>
      <c r="S1223" s="161" t="s">
        <v>1138</v>
      </c>
      <c r="T1223" s="161" t="s">
        <v>1139</v>
      </c>
      <c r="U1223" s="161" t="s">
        <v>73</v>
      </c>
      <c r="V1223" s="21" t="s">
        <v>74</v>
      </c>
      <c r="W1223" s="21" t="s">
        <v>762</v>
      </c>
      <c r="X1223" s="161" t="s">
        <v>787</v>
      </c>
      <c r="Y1223" s="161">
        <v>5.3949999999999996E-3</v>
      </c>
      <c r="Z1223" s="161">
        <v>1.3</v>
      </c>
      <c r="AA1223" s="161" t="s">
        <v>77</v>
      </c>
      <c r="AB1223" s="161" t="s">
        <v>114</v>
      </c>
      <c r="AC1223" s="266" t="str">
        <f>HYPERLINK("https://gcsvt.ru/svetodiodnyie-svetilniki/svt-str-m-30w-58-blue/","Ссылка")</f>
        <v>Ссылка</v>
      </c>
      <c r="AD1223" s="167">
        <v>7948</v>
      </c>
    </row>
    <row r="1224" spans="1:30" s="161" customFormat="1" ht="39.950000000000003" hidden="1" customHeight="1" outlineLevel="1" x14ac:dyDescent="0.25">
      <c r="A1224" s="21"/>
      <c r="B1224" s="21" t="s">
        <v>1133</v>
      </c>
      <c r="C1224" s="159" t="s">
        <v>1186</v>
      </c>
      <c r="D1224" s="161">
        <v>1140</v>
      </c>
      <c r="E1224" s="161">
        <v>60</v>
      </c>
      <c r="F1224" s="161">
        <v>19</v>
      </c>
      <c r="G1224" s="161" t="s">
        <v>1187</v>
      </c>
      <c r="H1224" s="161" t="s">
        <v>1136</v>
      </c>
      <c r="I1224" s="161">
        <v>67</v>
      </c>
      <c r="J1224" s="161" t="s">
        <v>105</v>
      </c>
      <c r="K1224" s="21" t="s">
        <v>106</v>
      </c>
      <c r="L1224" s="161" t="s">
        <v>3380</v>
      </c>
      <c r="M1224" s="21" t="s">
        <v>107</v>
      </c>
      <c r="N1224" s="161" t="s">
        <v>108</v>
      </c>
      <c r="O1224" s="21" t="s">
        <v>68</v>
      </c>
      <c r="P1224" s="161" t="s">
        <v>109</v>
      </c>
      <c r="Q1224" s="21" t="s">
        <v>1181</v>
      </c>
      <c r="R1224" s="161" t="s">
        <v>59</v>
      </c>
      <c r="S1224" s="161" t="s">
        <v>1148</v>
      </c>
      <c r="T1224" s="161" t="s">
        <v>1139</v>
      </c>
      <c r="U1224" s="161" t="s">
        <v>73</v>
      </c>
      <c r="V1224" s="21" t="s">
        <v>74</v>
      </c>
      <c r="W1224" s="21" t="s">
        <v>762</v>
      </c>
      <c r="X1224" s="161" t="s">
        <v>820</v>
      </c>
      <c r="Y1224" s="161">
        <v>1.1440000000000001E-2</v>
      </c>
      <c r="Z1224" s="161">
        <v>1.8</v>
      </c>
      <c r="AA1224" s="161" t="s">
        <v>77</v>
      </c>
      <c r="AB1224" s="161" t="s">
        <v>114</v>
      </c>
      <c r="AC1224" s="266" t="str">
        <f>HYPERLINK("https://gcsvt.ru/svetodiodnyie-svetilniki/svt-str-m-60w-12-blue/","Ссылка")</f>
        <v>Ссылка</v>
      </c>
      <c r="AD1224" s="167">
        <v>11217</v>
      </c>
    </row>
    <row r="1225" spans="1:30" s="161" customFormat="1" ht="39.950000000000003" hidden="1" customHeight="1" outlineLevel="1" x14ac:dyDescent="0.25">
      <c r="A1225" s="21"/>
      <c r="B1225" s="21" t="s">
        <v>1133</v>
      </c>
      <c r="C1225" s="159" t="s">
        <v>1188</v>
      </c>
      <c r="D1225" s="161">
        <v>1140</v>
      </c>
      <c r="E1225" s="161">
        <v>60</v>
      </c>
      <c r="F1225" s="161">
        <v>19</v>
      </c>
      <c r="G1225" s="161" t="s">
        <v>1189</v>
      </c>
      <c r="H1225" s="161" t="s">
        <v>1142</v>
      </c>
      <c r="I1225" s="161">
        <v>67</v>
      </c>
      <c r="J1225" s="161" t="s">
        <v>105</v>
      </c>
      <c r="K1225" s="21" t="s">
        <v>106</v>
      </c>
      <c r="L1225" s="161" t="s">
        <v>3380</v>
      </c>
      <c r="M1225" s="21" t="s">
        <v>107</v>
      </c>
      <c r="N1225" s="161" t="s">
        <v>108</v>
      </c>
      <c r="O1225" s="21" t="s">
        <v>68</v>
      </c>
      <c r="P1225" s="161" t="s">
        <v>109</v>
      </c>
      <c r="Q1225" s="21" t="s">
        <v>1181</v>
      </c>
      <c r="R1225" s="161" t="s">
        <v>59</v>
      </c>
      <c r="S1225" s="161" t="s">
        <v>1148</v>
      </c>
      <c r="T1225" s="161" t="s">
        <v>1139</v>
      </c>
      <c r="U1225" s="161" t="s">
        <v>73</v>
      </c>
      <c r="V1225" s="21" t="s">
        <v>74</v>
      </c>
      <c r="W1225" s="21" t="s">
        <v>762</v>
      </c>
      <c r="X1225" s="161" t="s">
        <v>820</v>
      </c>
      <c r="Y1225" s="161">
        <v>1.1440000000000001E-2</v>
      </c>
      <c r="Z1225" s="161">
        <v>1.8</v>
      </c>
      <c r="AA1225" s="161" t="s">
        <v>77</v>
      </c>
      <c r="AB1225" s="161" t="s">
        <v>114</v>
      </c>
      <c r="AC1225" s="266" t="str">
        <f>HYPERLINK("https://gcsvt.ru/svetodiodnyie-svetilniki/svt-str-m-60w-27-blue/","Ссылка")</f>
        <v>Ссылка</v>
      </c>
      <c r="AD1225" s="167">
        <v>11217</v>
      </c>
    </row>
    <row r="1226" spans="1:30" s="161" customFormat="1" ht="39.950000000000003" hidden="1" customHeight="1" outlineLevel="1" x14ac:dyDescent="0.25">
      <c r="A1226" s="21"/>
      <c r="B1226" s="21" t="s">
        <v>1133</v>
      </c>
      <c r="C1226" s="159" t="s">
        <v>1190</v>
      </c>
      <c r="D1226" s="161">
        <v>1140</v>
      </c>
      <c r="E1226" s="161">
        <v>60</v>
      </c>
      <c r="F1226" s="161">
        <v>19</v>
      </c>
      <c r="G1226" s="161" t="s">
        <v>1191</v>
      </c>
      <c r="H1226" s="161" t="s">
        <v>1145</v>
      </c>
      <c r="I1226" s="161">
        <v>67</v>
      </c>
      <c r="J1226" s="161" t="s">
        <v>105</v>
      </c>
      <c r="K1226" s="21" t="s">
        <v>106</v>
      </c>
      <c r="L1226" s="161" t="s">
        <v>3380</v>
      </c>
      <c r="M1226" s="21" t="s">
        <v>107</v>
      </c>
      <c r="N1226" s="161" t="s">
        <v>108</v>
      </c>
      <c r="O1226" s="21" t="s">
        <v>68</v>
      </c>
      <c r="P1226" s="161" t="s">
        <v>109</v>
      </c>
      <c r="Q1226" s="21" t="s">
        <v>1181</v>
      </c>
      <c r="R1226" s="161" t="s">
        <v>59</v>
      </c>
      <c r="S1226" s="161" t="s">
        <v>1148</v>
      </c>
      <c r="T1226" s="161" t="s">
        <v>1139</v>
      </c>
      <c r="U1226" s="161" t="s">
        <v>73</v>
      </c>
      <c r="V1226" s="21" t="s">
        <v>74</v>
      </c>
      <c r="W1226" s="21" t="s">
        <v>762</v>
      </c>
      <c r="X1226" s="161" t="s">
        <v>820</v>
      </c>
      <c r="Y1226" s="161">
        <v>1.1440000000000001E-2</v>
      </c>
      <c r="Z1226" s="161">
        <v>1.8</v>
      </c>
      <c r="AA1226" s="161" t="s">
        <v>77</v>
      </c>
      <c r="AB1226" s="161" t="s">
        <v>114</v>
      </c>
      <c r="AC1226" s="266" t="str">
        <f>HYPERLINK("https://gcsvt.ru/svetodiodnyie-svetilniki/svt-str-m-60w-58-blue/","Ссылка")</f>
        <v>Ссылка</v>
      </c>
      <c r="AD1226" s="167">
        <v>11217</v>
      </c>
    </row>
    <row r="1227" spans="1:30" s="161" customFormat="1" ht="39.950000000000003" hidden="1" customHeight="1" outlineLevel="1" x14ac:dyDescent="0.25">
      <c r="A1227" s="21"/>
      <c r="B1227" s="21" t="s">
        <v>1133</v>
      </c>
      <c r="C1227" s="159" t="s">
        <v>1192</v>
      </c>
      <c r="D1227" s="161">
        <v>1710</v>
      </c>
      <c r="E1227" s="161">
        <v>90</v>
      </c>
      <c r="F1227" s="161">
        <v>19</v>
      </c>
      <c r="G1227" s="161" t="s">
        <v>1193</v>
      </c>
      <c r="H1227" s="161" t="s">
        <v>1136</v>
      </c>
      <c r="I1227" s="161">
        <v>67</v>
      </c>
      <c r="J1227" s="161" t="s">
        <v>105</v>
      </c>
      <c r="K1227" s="21" t="s">
        <v>106</v>
      </c>
      <c r="L1227" s="161" t="s">
        <v>3380</v>
      </c>
      <c r="M1227" s="21" t="s">
        <v>107</v>
      </c>
      <c r="N1227" s="161" t="s">
        <v>108</v>
      </c>
      <c r="O1227" s="21" t="s">
        <v>68</v>
      </c>
      <c r="P1227" s="161" t="s">
        <v>109</v>
      </c>
      <c r="Q1227" s="21" t="s">
        <v>1181</v>
      </c>
      <c r="R1227" s="161" t="s">
        <v>59</v>
      </c>
      <c r="S1227" s="161" t="s">
        <v>1155</v>
      </c>
      <c r="T1227" s="161" t="s">
        <v>1139</v>
      </c>
      <c r="U1227" s="161" t="s">
        <v>73</v>
      </c>
      <c r="V1227" s="21" t="s">
        <v>74</v>
      </c>
      <c r="W1227" s="21" t="s">
        <v>762</v>
      </c>
      <c r="X1227" s="161" t="s">
        <v>853</v>
      </c>
      <c r="Y1227" s="161">
        <v>1.6951999999999998E-2</v>
      </c>
      <c r="Z1227" s="161">
        <v>2.6</v>
      </c>
      <c r="AA1227" s="161" t="s">
        <v>77</v>
      </c>
      <c r="AB1227" s="161" t="s">
        <v>114</v>
      </c>
      <c r="AC1227" s="266" t="str">
        <f>HYPERLINK("https://gcsvt.ru/svetodiodnyie-svetilniki/svt-str-m-90w-12-blue/","Ссылка")</f>
        <v>Ссылка</v>
      </c>
      <c r="AD1227" s="167">
        <v>19221</v>
      </c>
    </row>
    <row r="1228" spans="1:30" s="161" customFormat="1" ht="39.950000000000003" hidden="1" customHeight="1" outlineLevel="1" x14ac:dyDescent="0.25">
      <c r="A1228" s="21"/>
      <c r="B1228" s="21" t="s">
        <v>1133</v>
      </c>
      <c r="C1228" s="159" t="s">
        <v>1194</v>
      </c>
      <c r="D1228" s="161">
        <v>1710</v>
      </c>
      <c r="E1228" s="161">
        <v>90</v>
      </c>
      <c r="F1228" s="161">
        <v>19</v>
      </c>
      <c r="G1228" s="161" t="s">
        <v>1195</v>
      </c>
      <c r="H1228" s="161" t="s">
        <v>1142</v>
      </c>
      <c r="I1228" s="161">
        <v>67</v>
      </c>
      <c r="J1228" s="161" t="s">
        <v>105</v>
      </c>
      <c r="K1228" s="21" t="s">
        <v>106</v>
      </c>
      <c r="L1228" s="161" t="s">
        <v>3380</v>
      </c>
      <c r="M1228" s="21" t="s">
        <v>107</v>
      </c>
      <c r="N1228" s="161" t="s">
        <v>108</v>
      </c>
      <c r="O1228" s="21" t="s">
        <v>68</v>
      </c>
      <c r="P1228" s="161" t="s">
        <v>109</v>
      </c>
      <c r="Q1228" s="21" t="s">
        <v>1181</v>
      </c>
      <c r="R1228" s="161" t="s">
        <v>59</v>
      </c>
      <c r="S1228" s="161" t="s">
        <v>1155</v>
      </c>
      <c r="T1228" s="161" t="s">
        <v>1139</v>
      </c>
      <c r="U1228" s="161" t="s">
        <v>73</v>
      </c>
      <c r="V1228" s="21" t="s">
        <v>74</v>
      </c>
      <c r="W1228" s="21" t="s">
        <v>762</v>
      </c>
      <c r="X1228" s="161" t="s">
        <v>853</v>
      </c>
      <c r="Y1228" s="161">
        <v>1.6951999999999998E-2</v>
      </c>
      <c r="Z1228" s="161">
        <v>2.6</v>
      </c>
      <c r="AA1228" s="161" t="s">
        <v>77</v>
      </c>
      <c r="AB1228" s="161" t="s">
        <v>114</v>
      </c>
      <c r="AC1228" s="266" t="str">
        <f>HYPERLINK("https://gcsvt.ru/svetodiodnyie-svetilniki/svt-str-m-90w-27-blue/","Ссылка")</f>
        <v>Ссылка</v>
      </c>
      <c r="AD1228" s="167">
        <v>19221</v>
      </c>
    </row>
    <row r="1229" spans="1:30" s="161" customFormat="1" ht="39.950000000000003" hidden="1" customHeight="1" outlineLevel="1" x14ac:dyDescent="0.25">
      <c r="A1229" s="21"/>
      <c r="B1229" s="21" t="s">
        <v>1133</v>
      </c>
      <c r="C1229" s="159" t="s">
        <v>1196</v>
      </c>
      <c r="D1229" s="161">
        <v>1710</v>
      </c>
      <c r="E1229" s="161">
        <v>90</v>
      </c>
      <c r="F1229" s="161">
        <v>19</v>
      </c>
      <c r="G1229" s="161" t="s">
        <v>1197</v>
      </c>
      <c r="H1229" s="161" t="s">
        <v>1145</v>
      </c>
      <c r="I1229" s="161">
        <v>67</v>
      </c>
      <c r="J1229" s="161" t="s">
        <v>105</v>
      </c>
      <c r="K1229" s="21" t="s">
        <v>106</v>
      </c>
      <c r="L1229" s="161" t="s">
        <v>3380</v>
      </c>
      <c r="M1229" s="21" t="s">
        <v>107</v>
      </c>
      <c r="N1229" s="161" t="s">
        <v>108</v>
      </c>
      <c r="O1229" s="21" t="s">
        <v>68</v>
      </c>
      <c r="P1229" s="161" t="s">
        <v>109</v>
      </c>
      <c r="Q1229" s="21" t="s">
        <v>1181</v>
      </c>
      <c r="R1229" s="161" t="s">
        <v>59</v>
      </c>
      <c r="S1229" s="161" t="s">
        <v>1155</v>
      </c>
      <c r="T1229" s="161" t="s">
        <v>1139</v>
      </c>
      <c r="U1229" s="161" t="s">
        <v>73</v>
      </c>
      <c r="V1229" s="21" t="s">
        <v>74</v>
      </c>
      <c r="W1229" s="21" t="s">
        <v>762</v>
      </c>
      <c r="X1229" s="161" t="s">
        <v>853</v>
      </c>
      <c r="Y1229" s="161">
        <v>1.6951999999999998E-2</v>
      </c>
      <c r="Z1229" s="161">
        <v>2.6</v>
      </c>
      <c r="AA1229" s="161" t="s">
        <v>77</v>
      </c>
      <c r="AB1229" s="161" t="s">
        <v>114</v>
      </c>
      <c r="AC1229" s="266" t="str">
        <f>HYPERLINK("https://gcsvt.ru/svetodiodnyie-svetilniki/svt-str-m-90w-58-blue/","Ссылка")</f>
        <v>Ссылка</v>
      </c>
      <c r="AD1229" s="167">
        <v>19221</v>
      </c>
    </row>
    <row r="1230" spans="1:30" s="161" customFormat="1" ht="39.950000000000003" hidden="1" customHeight="1" outlineLevel="1" x14ac:dyDescent="0.25">
      <c r="A1230" s="21"/>
      <c r="B1230" s="21" t="s">
        <v>1133</v>
      </c>
      <c r="C1230" s="159" t="s">
        <v>1198</v>
      </c>
      <c r="D1230" s="161">
        <v>1350</v>
      </c>
      <c r="E1230" s="161">
        <v>30</v>
      </c>
      <c r="F1230" s="161">
        <v>45</v>
      </c>
      <c r="G1230" s="161" t="s">
        <v>1199</v>
      </c>
      <c r="H1230" s="161" t="s">
        <v>1136</v>
      </c>
      <c r="I1230" s="161">
        <v>67</v>
      </c>
      <c r="J1230" s="161" t="s">
        <v>105</v>
      </c>
      <c r="K1230" s="21" t="s">
        <v>106</v>
      </c>
      <c r="L1230" s="161" t="s">
        <v>3380</v>
      </c>
      <c r="M1230" s="21" t="s">
        <v>107</v>
      </c>
      <c r="N1230" s="161" t="s">
        <v>108</v>
      </c>
      <c r="O1230" s="21" t="s">
        <v>68</v>
      </c>
      <c r="P1230" s="161" t="s">
        <v>109</v>
      </c>
      <c r="Q1230" s="21" t="s">
        <v>1200</v>
      </c>
      <c r="R1230" s="161" t="s">
        <v>59</v>
      </c>
      <c r="S1230" s="161" t="s">
        <v>1138</v>
      </c>
      <c r="T1230" s="161" t="s">
        <v>1139</v>
      </c>
      <c r="U1230" s="161" t="s">
        <v>73</v>
      </c>
      <c r="V1230" s="21" t="s">
        <v>74</v>
      </c>
      <c r="W1230" s="21" t="s">
        <v>762</v>
      </c>
      <c r="X1230" s="161" t="s">
        <v>787</v>
      </c>
      <c r="Y1230" s="161">
        <v>5.3949999999999996E-3</v>
      </c>
      <c r="Z1230" s="161">
        <v>1.3</v>
      </c>
      <c r="AA1230" s="161" t="s">
        <v>77</v>
      </c>
      <c r="AB1230" s="161" t="s">
        <v>114</v>
      </c>
      <c r="AC1230" s="266" t="str">
        <f>HYPERLINK("https://gcsvt.ru/svetodiodnyie-svetilniki/svt-str-m-30w-12-amber/","Ссылка")</f>
        <v>Ссылка</v>
      </c>
      <c r="AD1230" s="167">
        <v>7948</v>
      </c>
    </row>
    <row r="1231" spans="1:30" s="161" customFormat="1" ht="39.950000000000003" hidden="1" customHeight="1" outlineLevel="1" x14ac:dyDescent="0.25">
      <c r="A1231" s="21"/>
      <c r="B1231" s="21" t="s">
        <v>1133</v>
      </c>
      <c r="C1231" s="159" t="s">
        <v>1201</v>
      </c>
      <c r="D1231" s="161">
        <v>1350</v>
      </c>
      <c r="E1231" s="161">
        <v>30</v>
      </c>
      <c r="F1231" s="161">
        <v>45</v>
      </c>
      <c r="G1231" s="161" t="s">
        <v>1202</v>
      </c>
      <c r="H1231" s="161" t="s">
        <v>1142</v>
      </c>
      <c r="I1231" s="161">
        <v>67</v>
      </c>
      <c r="J1231" s="161" t="s">
        <v>105</v>
      </c>
      <c r="K1231" s="21" t="s">
        <v>106</v>
      </c>
      <c r="L1231" s="161" t="s">
        <v>3380</v>
      </c>
      <c r="M1231" s="21" t="s">
        <v>107</v>
      </c>
      <c r="N1231" s="161" t="s">
        <v>108</v>
      </c>
      <c r="O1231" s="21" t="s">
        <v>68</v>
      </c>
      <c r="P1231" s="161" t="s">
        <v>109</v>
      </c>
      <c r="Q1231" s="21" t="s">
        <v>1200</v>
      </c>
      <c r="R1231" s="161" t="s">
        <v>59</v>
      </c>
      <c r="S1231" s="161" t="s">
        <v>1138</v>
      </c>
      <c r="T1231" s="161" t="s">
        <v>1139</v>
      </c>
      <c r="U1231" s="161" t="s">
        <v>73</v>
      </c>
      <c r="V1231" s="21" t="s">
        <v>74</v>
      </c>
      <c r="W1231" s="21" t="s">
        <v>762</v>
      </c>
      <c r="X1231" s="161" t="s">
        <v>787</v>
      </c>
      <c r="Y1231" s="161">
        <v>5.3949999999999996E-3</v>
      </c>
      <c r="Z1231" s="161">
        <v>1.3</v>
      </c>
      <c r="AA1231" s="161" t="s">
        <v>77</v>
      </c>
      <c r="AB1231" s="161" t="s">
        <v>114</v>
      </c>
      <c r="AC1231" s="266" t="str">
        <f>HYPERLINK("https://gcsvt.ru/svetodiodnyie-svetilniki/svt-str-m-30w-27-amber/","Ссылка")</f>
        <v>Ссылка</v>
      </c>
      <c r="AD1231" s="167">
        <v>7948</v>
      </c>
    </row>
    <row r="1232" spans="1:30" s="161" customFormat="1" ht="39.950000000000003" hidden="1" customHeight="1" outlineLevel="1" x14ac:dyDescent="0.25">
      <c r="A1232" s="21"/>
      <c r="B1232" s="21" t="s">
        <v>1133</v>
      </c>
      <c r="C1232" s="159" t="s">
        <v>1203</v>
      </c>
      <c r="D1232" s="161">
        <v>1350</v>
      </c>
      <c r="E1232" s="161">
        <v>30</v>
      </c>
      <c r="F1232" s="161">
        <v>45</v>
      </c>
      <c r="G1232" s="161" t="s">
        <v>1204</v>
      </c>
      <c r="H1232" s="161" t="s">
        <v>1145</v>
      </c>
      <c r="I1232" s="161">
        <v>67</v>
      </c>
      <c r="J1232" s="161" t="s">
        <v>105</v>
      </c>
      <c r="K1232" s="21" t="s">
        <v>106</v>
      </c>
      <c r="L1232" s="161" t="s">
        <v>3380</v>
      </c>
      <c r="M1232" s="21" t="s">
        <v>107</v>
      </c>
      <c r="N1232" s="161" t="s">
        <v>108</v>
      </c>
      <c r="O1232" s="21" t="s">
        <v>68</v>
      </c>
      <c r="P1232" s="161" t="s">
        <v>109</v>
      </c>
      <c r="Q1232" s="21" t="s">
        <v>1200</v>
      </c>
      <c r="R1232" s="161" t="s">
        <v>59</v>
      </c>
      <c r="S1232" s="161" t="s">
        <v>1138</v>
      </c>
      <c r="T1232" s="161" t="s">
        <v>1139</v>
      </c>
      <c r="U1232" s="161" t="s">
        <v>73</v>
      </c>
      <c r="V1232" s="21" t="s">
        <v>74</v>
      </c>
      <c r="W1232" s="21" t="s">
        <v>762</v>
      </c>
      <c r="X1232" s="161" t="s">
        <v>787</v>
      </c>
      <c r="Y1232" s="161">
        <v>5.3949999999999996E-3</v>
      </c>
      <c r="Z1232" s="161">
        <v>1.3</v>
      </c>
      <c r="AA1232" s="161" t="s">
        <v>77</v>
      </c>
      <c r="AB1232" s="161" t="s">
        <v>114</v>
      </c>
      <c r="AC1232" s="266" t="str">
        <f>HYPERLINK("https://gcsvt.ru/svetodiodnyie-svetilniki/svt-str-m-30w-58-amber/","Ссылка")</f>
        <v>Ссылка</v>
      </c>
      <c r="AD1232" s="167">
        <v>7948</v>
      </c>
    </row>
    <row r="1233" spans="1:30" s="161" customFormat="1" ht="39.950000000000003" hidden="1" customHeight="1" outlineLevel="1" x14ac:dyDescent="0.25">
      <c r="A1233" s="21"/>
      <c r="B1233" s="21" t="s">
        <v>1133</v>
      </c>
      <c r="C1233" s="159" t="s">
        <v>1205</v>
      </c>
      <c r="D1233" s="161">
        <v>2700</v>
      </c>
      <c r="E1233" s="161">
        <v>60</v>
      </c>
      <c r="F1233" s="161">
        <v>45</v>
      </c>
      <c r="G1233" s="161" t="s">
        <v>1206</v>
      </c>
      <c r="H1233" s="161" t="s">
        <v>1136</v>
      </c>
      <c r="I1233" s="161">
        <v>67</v>
      </c>
      <c r="J1233" s="161" t="s">
        <v>105</v>
      </c>
      <c r="K1233" s="21" t="s">
        <v>106</v>
      </c>
      <c r="L1233" s="161" t="s">
        <v>3380</v>
      </c>
      <c r="M1233" s="21" t="s">
        <v>107</v>
      </c>
      <c r="N1233" s="161" t="s">
        <v>108</v>
      </c>
      <c r="O1233" s="21" t="s">
        <v>68</v>
      </c>
      <c r="P1233" s="161" t="s">
        <v>109</v>
      </c>
      <c r="Q1233" s="21" t="s">
        <v>1200</v>
      </c>
      <c r="R1233" s="161" t="s">
        <v>59</v>
      </c>
      <c r="S1233" s="161" t="s">
        <v>1148</v>
      </c>
      <c r="T1233" s="161" t="s">
        <v>1139</v>
      </c>
      <c r="U1233" s="161" t="s">
        <v>73</v>
      </c>
      <c r="V1233" s="21" t="s">
        <v>74</v>
      </c>
      <c r="W1233" s="21" t="s">
        <v>762</v>
      </c>
      <c r="X1233" s="161" t="s">
        <v>820</v>
      </c>
      <c r="Y1233" s="161">
        <v>1.1440000000000001E-2</v>
      </c>
      <c r="Z1233" s="161">
        <v>1.8</v>
      </c>
      <c r="AA1233" s="161" t="s">
        <v>77</v>
      </c>
      <c r="AB1233" s="161" t="s">
        <v>114</v>
      </c>
      <c r="AC1233" s="266" t="str">
        <f>HYPERLINK("https://gcsvt.ru/svetodiodnyie-svetilniki/svt-str-m-60w-12-amber/","Ссылка")</f>
        <v>Ссылка</v>
      </c>
      <c r="AD1233" s="167">
        <v>11217</v>
      </c>
    </row>
    <row r="1234" spans="1:30" s="161" customFormat="1" ht="39.950000000000003" hidden="1" customHeight="1" outlineLevel="1" x14ac:dyDescent="0.25">
      <c r="A1234" s="21"/>
      <c r="B1234" s="21" t="s">
        <v>1133</v>
      </c>
      <c r="C1234" s="159" t="s">
        <v>1207</v>
      </c>
      <c r="D1234" s="161">
        <v>2700</v>
      </c>
      <c r="E1234" s="161">
        <v>60</v>
      </c>
      <c r="F1234" s="161">
        <v>45</v>
      </c>
      <c r="G1234" s="161" t="s">
        <v>1208</v>
      </c>
      <c r="H1234" s="161" t="s">
        <v>1142</v>
      </c>
      <c r="I1234" s="161">
        <v>67</v>
      </c>
      <c r="J1234" s="161" t="s">
        <v>105</v>
      </c>
      <c r="K1234" s="21" t="s">
        <v>106</v>
      </c>
      <c r="L1234" s="161" t="s">
        <v>3380</v>
      </c>
      <c r="M1234" s="21" t="s">
        <v>107</v>
      </c>
      <c r="N1234" s="161" t="s">
        <v>108</v>
      </c>
      <c r="O1234" s="21" t="s">
        <v>68</v>
      </c>
      <c r="P1234" s="161" t="s">
        <v>109</v>
      </c>
      <c r="Q1234" s="21" t="s">
        <v>1200</v>
      </c>
      <c r="R1234" s="161" t="s">
        <v>59</v>
      </c>
      <c r="S1234" s="161" t="s">
        <v>1148</v>
      </c>
      <c r="T1234" s="161" t="s">
        <v>1139</v>
      </c>
      <c r="U1234" s="161" t="s">
        <v>73</v>
      </c>
      <c r="V1234" s="21" t="s">
        <v>74</v>
      </c>
      <c r="W1234" s="21" t="s">
        <v>762</v>
      </c>
      <c r="X1234" s="161" t="s">
        <v>820</v>
      </c>
      <c r="Y1234" s="161">
        <v>1.1440000000000001E-2</v>
      </c>
      <c r="Z1234" s="161">
        <v>1.8</v>
      </c>
      <c r="AA1234" s="161" t="s">
        <v>77</v>
      </c>
      <c r="AB1234" s="161" t="s">
        <v>114</v>
      </c>
      <c r="AC1234" s="266" t="str">
        <f>HYPERLINK("https://gcsvt.ru/svetodiodnyie-svetilniki/svt-str-m-60w-27-amber/","Ссылка")</f>
        <v>Ссылка</v>
      </c>
      <c r="AD1234" s="167">
        <v>11217</v>
      </c>
    </row>
    <row r="1235" spans="1:30" s="161" customFormat="1" ht="39.950000000000003" hidden="1" customHeight="1" outlineLevel="1" x14ac:dyDescent="0.25">
      <c r="A1235" s="21"/>
      <c r="B1235" s="21" t="s">
        <v>1133</v>
      </c>
      <c r="C1235" s="159" t="s">
        <v>1209</v>
      </c>
      <c r="D1235" s="161">
        <v>2700</v>
      </c>
      <c r="E1235" s="161">
        <v>60</v>
      </c>
      <c r="F1235" s="161">
        <v>45</v>
      </c>
      <c r="G1235" s="161" t="s">
        <v>1210</v>
      </c>
      <c r="H1235" s="161" t="s">
        <v>1145</v>
      </c>
      <c r="I1235" s="161">
        <v>67</v>
      </c>
      <c r="J1235" s="161" t="s">
        <v>105</v>
      </c>
      <c r="K1235" s="21" t="s">
        <v>106</v>
      </c>
      <c r="L1235" s="161" t="s">
        <v>3380</v>
      </c>
      <c r="M1235" s="21" t="s">
        <v>107</v>
      </c>
      <c r="N1235" s="161" t="s">
        <v>108</v>
      </c>
      <c r="O1235" s="21" t="s">
        <v>68</v>
      </c>
      <c r="P1235" s="161" t="s">
        <v>109</v>
      </c>
      <c r="Q1235" s="21" t="s">
        <v>1200</v>
      </c>
      <c r="R1235" s="161" t="s">
        <v>59</v>
      </c>
      <c r="S1235" s="161" t="s">
        <v>1148</v>
      </c>
      <c r="T1235" s="161" t="s">
        <v>1139</v>
      </c>
      <c r="U1235" s="161" t="s">
        <v>73</v>
      </c>
      <c r="V1235" s="21" t="s">
        <v>74</v>
      </c>
      <c r="W1235" s="21" t="s">
        <v>762</v>
      </c>
      <c r="X1235" s="161" t="s">
        <v>820</v>
      </c>
      <c r="Y1235" s="161">
        <v>1.1440000000000001E-2</v>
      </c>
      <c r="Z1235" s="161">
        <v>1.8</v>
      </c>
      <c r="AA1235" s="161" t="s">
        <v>77</v>
      </c>
      <c r="AB1235" s="161" t="s">
        <v>114</v>
      </c>
      <c r="AC1235" s="266" t="str">
        <f>HYPERLINK("https://gcsvt.ru/svetodiodnyie-svetilniki/svt-str-m-60w-58-amber/","Ссылка")</f>
        <v>Ссылка</v>
      </c>
      <c r="AD1235" s="167">
        <v>11217</v>
      </c>
    </row>
    <row r="1236" spans="1:30" s="161" customFormat="1" ht="39.950000000000003" hidden="1" customHeight="1" outlineLevel="1" x14ac:dyDescent="0.25">
      <c r="A1236" s="21"/>
      <c r="B1236" s="21" t="s">
        <v>1133</v>
      </c>
      <c r="C1236" s="159" t="s">
        <v>1211</v>
      </c>
      <c r="D1236" s="161">
        <v>4050</v>
      </c>
      <c r="E1236" s="161">
        <v>90</v>
      </c>
      <c r="F1236" s="161">
        <v>45</v>
      </c>
      <c r="G1236" s="161" t="s">
        <v>1212</v>
      </c>
      <c r="H1236" s="161" t="s">
        <v>1136</v>
      </c>
      <c r="I1236" s="161">
        <v>67</v>
      </c>
      <c r="J1236" s="161" t="s">
        <v>105</v>
      </c>
      <c r="K1236" s="21" t="s">
        <v>106</v>
      </c>
      <c r="L1236" s="161" t="s">
        <v>3380</v>
      </c>
      <c r="M1236" s="21" t="s">
        <v>107</v>
      </c>
      <c r="N1236" s="161" t="s">
        <v>108</v>
      </c>
      <c r="O1236" s="21" t="s">
        <v>68</v>
      </c>
      <c r="P1236" s="161" t="s">
        <v>109</v>
      </c>
      <c r="Q1236" s="21" t="s">
        <v>1200</v>
      </c>
      <c r="R1236" s="161" t="s">
        <v>59</v>
      </c>
      <c r="S1236" s="161" t="s">
        <v>1155</v>
      </c>
      <c r="T1236" s="161" t="s">
        <v>1139</v>
      </c>
      <c r="U1236" s="161" t="s">
        <v>73</v>
      </c>
      <c r="V1236" s="21" t="s">
        <v>74</v>
      </c>
      <c r="W1236" s="21" t="s">
        <v>762</v>
      </c>
      <c r="X1236" s="161" t="s">
        <v>853</v>
      </c>
      <c r="Y1236" s="161">
        <v>1.6951999999999998E-2</v>
      </c>
      <c r="Z1236" s="161">
        <v>2.6</v>
      </c>
      <c r="AA1236" s="161" t="s">
        <v>77</v>
      </c>
      <c r="AB1236" s="161" t="s">
        <v>114</v>
      </c>
      <c r="AC1236" s="266" t="str">
        <f>HYPERLINK("https://gcsvt.ru/svetodiodnyie-svetilniki/svt-str-m-90w-12-amber/","Ссылка")</f>
        <v>Ссылка</v>
      </c>
      <c r="AD1236" s="167">
        <v>19221</v>
      </c>
    </row>
    <row r="1237" spans="1:30" s="161" customFormat="1" ht="39.950000000000003" hidden="1" customHeight="1" outlineLevel="1" x14ac:dyDescent="0.25">
      <c r="A1237" s="21"/>
      <c r="B1237" s="21" t="s">
        <v>1133</v>
      </c>
      <c r="C1237" s="159" t="s">
        <v>1213</v>
      </c>
      <c r="D1237" s="161">
        <v>4050</v>
      </c>
      <c r="E1237" s="161">
        <v>90</v>
      </c>
      <c r="F1237" s="161">
        <v>45</v>
      </c>
      <c r="G1237" s="161" t="s">
        <v>1214</v>
      </c>
      <c r="H1237" s="161" t="s">
        <v>1142</v>
      </c>
      <c r="I1237" s="161">
        <v>67</v>
      </c>
      <c r="J1237" s="161" t="s">
        <v>105</v>
      </c>
      <c r="K1237" s="21" t="s">
        <v>106</v>
      </c>
      <c r="L1237" s="161" t="s">
        <v>3380</v>
      </c>
      <c r="M1237" s="21" t="s">
        <v>107</v>
      </c>
      <c r="N1237" s="161" t="s">
        <v>108</v>
      </c>
      <c r="O1237" s="21" t="s">
        <v>68</v>
      </c>
      <c r="P1237" s="161" t="s">
        <v>109</v>
      </c>
      <c r="Q1237" s="21" t="s">
        <v>1200</v>
      </c>
      <c r="R1237" s="161" t="s">
        <v>59</v>
      </c>
      <c r="S1237" s="161" t="s">
        <v>1155</v>
      </c>
      <c r="T1237" s="161" t="s">
        <v>1139</v>
      </c>
      <c r="U1237" s="161" t="s">
        <v>73</v>
      </c>
      <c r="V1237" s="21" t="s">
        <v>74</v>
      </c>
      <c r="W1237" s="21" t="s">
        <v>762</v>
      </c>
      <c r="X1237" s="161" t="s">
        <v>853</v>
      </c>
      <c r="Y1237" s="161">
        <v>1.6951999999999998E-2</v>
      </c>
      <c r="Z1237" s="161">
        <v>2.6</v>
      </c>
      <c r="AA1237" s="161" t="s">
        <v>77</v>
      </c>
      <c r="AB1237" s="161" t="s">
        <v>114</v>
      </c>
      <c r="AC1237" s="266" t="str">
        <f>HYPERLINK("https://gcsvt.ru/svetodiodnyie-svetilniki/svt-str-m-90w-27-amber/","Ссылка")</f>
        <v>Ссылка</v>
      </c>
      <c r="AD1237" s="167">
        <v>19221</v>
      </c>
    </row>
    <row r="1238" spans="1:30" s="161" customFormat="1" ht="39.950000000000003" hidden="1" customHeight="1" outlineLevel="1" x14ac:dyDescent="0.25">
      <c r="A1238" s="21"/>
      <c r="B1238" s="21" t="s">
        <v>1133</v>
      </c>
      <c r="C1238" s="159" t="s">
        <v>1215</v>
      </c>
      <c r="D1238" s="161">
        <v>4050</v>
      </c>
      <c r="E1238" s="161">
        <v>90</v>
      </c>
      <c r="F1238" s="161">
        <v>45</v>
      </c>
      <c r="G1238" s="161" t="s">
        <v>1216</v>
      </c>
      <c r="H1238" s="161" t="s">
        <v>1145</v>
      </c>
      <c r="I1238" s="161">
        <v>67</v>
      </c>
      <c r="J1238" s="161" t="s">
        <v>105</v>
      </c>
      <c r="K1238" s="21" t="s">
        <v>106</v>
      </c>
      <c r="L1238" s="161" t="s">
        <v>3380</v>
      </c>
      <c r="M1238" s="21" t="s">
        <v>107</v>
      </c>
      <c r="N1238" s="161" t="s">
        <v>108</v>
      </c>
      <c r="O1238" s="21" t="s">
        <v>68</v>
      </c>
      <c r="P1238" s="161" t="s">
        <v>109</v>
      </c>
      <c r="Q1238" s="21" t="s">
        <v>1200</v>
      </c>
      <c r="R1238" s="161" t="s">
        <v>59</v>
      </c>
      <c r="S1238" s="161" t="s">
        <v>1155</v>
      </c>
      <c r="T1238" s="161" t="s">
        <v>1139</v>
      </c>
      <c r="U1238" s="161" t="s">
        <v>73</v>
      </c>
      <c r="V1238" s="21" t="s">
        <v>74</v>
      </c>
      <c r="W1238" s="21" t="s">
        <v>762</v>
      </c>
      <c r="X1238" s="161" t="s">
        <v>853</v>
      </c>
      <c r="Y1238" s="161">
        <v>1.6951999999999998E-2</v>
      </c>
      <c r="Z1238" s="161">
        <v>2.6</v>
      </c>
      <c r="AA1238" s="161" t="s">
        <v>77</v>
      </c>
      <c r="AB1238" s="161" t="s">
        <v>114</v>
      </c>
      <c r="AC1238" s="266" t="str">
        <f>HYPERLINK("https://gcsvt.ru/svetodiodnyie-svetilniki/svt-str-m-90w-58-amber/","Ссылка")</f>
        <v>Ссылка</v>
      </c>
      <c r="AD1238" s="167">
        <v>19221</v>
      </c>
    </row>
    <row r="1239" spans="1:30" s="161" customFormat="1" ht="39.950000000000003" hidden="1" customHeight="1" outlineLevel="1" x14ac:dyDescent="0.25">
      <c r="A1239" s="21"/>
      <c r="B1239" s="47" t="s">
        <v>1217</v>
      </c>
      <c r="C1239" s="159"/>
      <c r="K1239" s="21"/>
      <c r="M1239" s="21"/>
      <c r="O1239" s="21"/>
      <c r="Q1239" s="21"/>
      <c r="V1239" s="21"/>
      <c r="W1239" s="21"/>
      <c r="AC1239" s="228"/>
      <c r="AD1239" s="167"/>
    </row>
    <row r="1240" spans="1:30" s="161" customFormat="1" ht="39.950000000000003" customHeight="1" collapsed="1" x14ac:dyDescent="0.25">
      <c r="A1240" s="158"/>
      <c r="B1240" s="195" t="s">
        <v>3996</v>
      </c>
      <c r="C1240" s="202"/>
      <c r="D1240" s="163"/>
      <c r="E1240" s="163"/>
      <c r="F1240" s="163"/>
      <c r="G1240" s="163"/>
      <c r="H1240" s="163"/>
      <c r="I1240" s="163"/>
      <c r="J1240" s="163"/>
      <c r="K1240" s="75"/>
      <c r="L1240" s="163"/>
      <c r="M1240" s="75"/>
      <c r="N1240" s="163"/>
      <c r="O1240" s="75"/>
      <c r="P1240" s="163"/>
      <c r="Q1240" s="75"/>
      <c r="R1240" s="163"/>
      <c r="S1240" s="163"/>
      <c r="T1240" s="163"/>
      <c r="U1240" s="163"/>
      <c r="V1240" s="75"/>
      <c r="W1240" s="75"/>
      <c r="X1240" s="163"/>
      <c r="Y1240" s="163"/>
      <c r="Z1240" s="163"/>
      <c r="AA1240" s="163"/>
      <c r="AB1240" s="163"/>
      <c r="AC1240" s="227"/>
      <c r="AD1240" s="164"/>
    </row>
    <row r="1241" spans="1:30" s="161" customFormat="1" ht="39.950000000000003" hidden="1" customHeight="1" outlineLevel="1" x14ac:dyDescent="0.25">
      <c r="A1241" s="21"/>
      <c r="B1241" s="21" t="s">
        <v>1714</v>
      </c>
      <c r="C1241" s="159" t="s">
        <v>1715</v>
      </c>
      <c r="D1241" s="161">
        <v>3600</v>
      </c>
      <c r="E1241" s="161">
        <v>40</v>
      </c>
      <c r="F1241" s="161">
        <v>90</v>
      </c>
      <c r="G1241" s="161" t="s">
        <v>1716</v>
      </c>
      <c r="H1241" s="161" t="s">
        <v>1717</v>
      </c>
      <c r="I1241" s="161">
        <v>65</v>
      </c>
      <c r="J1241" s="161" t="s">
        <v>389</v>
      </c>
      <c r="K1241" s="21" t="s">
        <v>1718</v>
      </c>
      <c r="L1241" s="161">
        <v>0.96</v>
      </c>
      <c r="M1241" s="21" t="s">
        <v>1719</v>
      </c>
      <c r="N1241" s="161" t="s">
        <v>108</v>
      </c>
      <c r="O1241" s="21" t="s">
        <v>1630</v>
      </c>
      <c r="P1241" s="161">
        <v>0.9</v>
      </c>
      <c r="Q1241" s="21" t="s">
        <v>1720</v>
      </c>
      <c r="R1241" s="161" t="s">
        <v>1440</v>
      </c>
      <c r="S1241" s="161" t="s">
        <v>1721</v>
      </c>
      <c r="T1241" s="161" t="s">
        <v>1722</v>
      </c>
      <c r="U1241" s="161" t="s">
        <v>73</v>
      </c>
      <c r="V1241" s="21" t="s">
        <v>1723</v>
      </c>
      <c r="W1241" s="21" t="s">
        <v>1724</v>
      </c>
      <c r="X1241" s="161" t="s">
        <v>1725</v>
      </c>
      <c r="Y1241" s="161">
        <v>0.01</v>
      </c>
      <c r="Z1241" s="161">
        <v>1</v>
      </c>
      <c r="AA1241" s="161" t="s">
        <v>77</v>
      </c>
      <c r="AB1241" s="161" t="s">
        <v>1726</v>
      </c>
      <c r="AC1241" s="266" t="str">
        <f>HYPERLINK("https://gcsvt.ru/svetodiodnyie-svetilniki/svt-str-ball-300-40w-m/","Ссылка")</f>
        <v>Ссылка</v>
      </c>
      <c r="AD1241" s="167">
        <v>7469</v>
      </c>
    </row>
    <row r="1242" spans="1:30" s="161" customFormat="1" ht="39.950000000000003" hidden="1" customHeight="1" outlineLevel="1" x14ac:dyDescent="0.25">
      <c r="A1242" s="21"/>
      <c r="B1242" s="21" t="s">
        <v>1714</v>
      </c>
      <c r="C1242" s="159" t="s">
        <v>1727</v>
      </c>
      <c r="D1242" s="161">
        <v>4000</v>
      </c>
      <c r="E1242" s="161">
        <v>40</v>
      </c>
      <c r="F1242" s="161">
        <v>100</v>
      </c>
      <c r="G1242" s="161" t="s">
        <v>1728</v>
      </c>
      <c r="H1242" s="161" t="s">
        <v>1717</v>
      </c>
      <c r="I1242" s="161">
        <v>65</v>
      </c>
      <c r="J1242" s="161" t="s">
        <v>389</v>
      </c>
      <c r="K1242" s="21" t="s">
        <v>1718</v>
      </c>
      <c r="L1242" s="161">
        <v>0.96</v>
      </c>
      <c r="M1242" s="21" t="s">
        <v>1719</v>
      </c>
      <c r="N1242" s="161" t="s">
        <v>108</v>
      </c>
      <c r="O1242" s="21" t="s">
        <v>1690</v>
      </c>
      <c r="P1242" s="161">
        <v>0.9</v>
      </c>
      <c r="Q1242" s="21" t="s">
        <v>1720</v>
      </c>
      <c r="R1242" s="161" t="s">
        <v>1440</v>
      </c>
      <c r="S1242" s="161" t="s">
        <v>1721</v>
      </c>
      <c r="T1242" s="161" t="s">
        <v>1729</v>
      </c>
      <c r="U1242" s="161" t="s">
        <v>73</v>
      </c>
      <c r="V1242" s="21" t="s">
        <v>1723</v>
      </c>
      <c r="W1242" s="21" t="s">
        <v>1724</v>
      </c>
      <c r="X1242" s="161" t="s">
        <v>1725</v>
      </c>
      <c r="Y1242" s="161">
        <v>0.01</v>
      </c>
      <c r="Z1242" s="161">
        <v>1</v>
      </c>
      <c r="AA1242" s="161" t="s">
        <v>77</v>
      </c>
      <c r="AB1242" s="161" t="s">
        <v>1726</v>
      </c>
      <c r="AC1242" s="266" t="str">
        <f>HYPERLINK("https://gcsvt.ru/svetodiodnyie-svetilniki/svt-str-ball-300-40w-t/","Ссылка")</f>
        <v>Ссылка</v>
      </c>
      <c r="AD1242" s="167">
        <v>7649</v>
      </c>
    </row>
    <row r="1243" spans="1:30" s="161" customFormat="1" ht="39.950000000000003" hidden="1" customHeight="1" outlineLevel="1" x14ac:dyDescent="0.25">
      <c r="A1243" s="21"/>
      <c r="B1243" s="21" t="s">
        <v>1714</v>
      </c>
      <c r="C1243" s="159" t="s">
        <v>1730</v>
      </c>
      <c r="D1243" s="161">
        <v>4000</v>
      </c>
      <c r="E1243" s="161">
        <v>40</v>
      </c>
      <c r="F1243" s="161">
        <v>100</v>
      </c>
      <c r="G1243" s="161" t="s">
        <v>1731</v>
      </c>
      <c r="H1243" s="161" t="s">
        <v>1717</v>
      </c>
      <c r="I1243" s="161">
        <v>65</v>
      </c>
      <c r="J1243" s="161" t="s">
        <v>389</v>
      </c>
      <c r="K1243" s="21" t="s">
        <v>1718</v>
      </c>
      <c r="L1243" s="161">
        <v>0.96</v>
      </c>
      <c r="M1243" s="21" t="s">
        <v>1719</v>
      </c>
      <c r="N1243" s="161" t="s">
        <v>108</v>
      </c>
      <c r="O1243" s="21" t="s">
        <v>1732</v>
      </c>
      <c r="P1243" s="161">
        <v>0.9</v>
      </c>
      <c r="Q1243" s="21" t="s">
        <v>1720</v>
      </c>
      <c r="R1243" s="161" t="s">
        <v>1440</v>
      </c>
      <c r="S1243" s="161" t="s">
        <v>1721</v>
      </c>
      <c r="T1243" s="161" t="s">
        <v>1729</v>
      </c>
      <c r="U1243" s="161" t="s">
        <v>73</v>
      </c>
      <c r="V1243" s="21" t="s">
        <v>1723</v>
      </c>
      <c r="W1243" s="21" t="s">
        <v>1724</v>
      </c>
      <c r="X1243" s="161" t="s">
        <v>1725</v>
      </c>
      <c r="Y1243" s="161">
        <v>0.01</v>
      </c>
      <c r="Z1243" s="161">
        <v>1</v>
      </c>
      <c r="AA1243" s="161" t="s">
        <v>77</v>
      </c>
      <c r="AB1243" s="161" t="s">
        <v>1726</v>
      </c>
      <c r="AC1243" s="266" t="str">
        <f>HYPERLINK("https://gcsvt.ru/svetodiodnyie-svetilniki/svt-str-ball-300-40w-g/","Ссылка")</f>
        <v>Ссылка</v>
      </c>
      <c r="AD1243" s="167">
        <v>7841</v>
      </c>
    </row>
    <row r="1244" spans="1:30" s="161" customFormat="1" ht="39.950000000000003" hidden="1" customHeight="1" outlineLevel="1" x14ac:dyDescent="0.25">
      <c r="A1244" s="21"/>
      <c r="B1244" s="21" t="s">
        <v>1714</v>
      </c>
      <c r="C1244" s="159" t="s">
        <v>1733</v>
      </c>
      <c r="D1244" s="161">
        <v>2700</v>
      </c>
      <c r="E1244" s="161">
        <v>30</v>
      </c>
      <c r="F1244" s="161">
        <v>90</v>
      </c>
      <c r="G1244" s="161" t="s">
        <v>1734</v>
      </c>
      <c r="H1244" s="161" t="s">
        <v>1717</v>
      </c>
      <c r="I1244" s="161">
        <v>65</v>
      </c>
      <c r="J1244" s="161" t="s">
        <v>389</v>
      </c>
      <c r="K1244" s="21" t="s">
        <v>1718</v>
      </c>
      <c r="L1244" s="161">
        <v>0.96</v>
      </c>
      <c r="M1244" s="21" t="s">
        <v>1719</v>
      </c>
      <c r="N1244" s="161" t="s">
        <v>108</v>
      </c>
      <c r="O1244" s="21" t="s">
        <v>1630</v>
      </c>
      <c r="P1244" s="161">
        <v>0.9</v>
      </c>
      <c r="Q1244" s="21" t="s">
        <v>1720</v>
      </c>
      <c r="R1244" s="161" t="s">
        <v>1440</v>
      </c>
      <c r="S1244" s="161" t="s">
        <v>1721</v>
      </c>
      <c r="T1244" s="161" t="s">
        <v>1729</v>
      </c>
      <c r="U1244" s="161" t="s">
        <v>73</v>
      </c>
      <c r="V1244" s="21" t="s">
        <v>1723</v>
      </c>
      <c r="W1244" s="21" t="s">
        <v>1724</v>
      </c>
      <c r="X1244" s="161" t="s">
        <v>1725</v>
      </c>
      <c r="Y1244" s="161">
        <v>0.01</v>
      </c>
      <c r="Z1244" s="161">
        <v>1</v>
      </c>
      <c r="AA1244" s="161" t="s">
        <v>77</v>
      </c>
      <c r="AB1244" s="161" t="s">
        <v>1726</v>
      </c>
      <c r="AC1244" s="266" t="str">
        <f>HYPERLINK("https://gcsvt.ru/svetodiodnyie-svetilniki/svt-str-ball-300-30w-m/","Ссылка")</f>
        <v>Ссылка</v>
      </c>
      <c r="AD1244" s="167">
        <v>7528</v>
      </c>
    </row>
    <row r="1245" spans="1:30" s="161" customFormat="1" ht="39.950000000000003" hidden="1" customHeight="1" outlineLevel="1" x14ac:dyDescent="0.25">
      <c r="A1245" s="21"/>
      <c r="B1245" s="21" t="s">
        <v>1714</v>
      </c>
      <c r="C1245" s="159" t="s">
        <v>1735</v>
      </c>
      <c r="D1245" s="161">
        <v>3450</v>
      </c>
      <c r="E1245" s="161">
        <v>30</v>
      </c>
      <c r="F1245" s="161">
        <v>115</v>
      </c>
      <c r="G1245" s="161" t="s">
        <v>1736</v>
      </c>
      <c r="H1245" s="161" t="s">
        <v>1717</v>
      </c>
      <c r="I1245" s="161">
        <v>65</v>
      </c>
      <c r="J1245" s="161" t="s">
        <v>389</v>
      </c>
      <c r="K1245" s="21" t="s">
        <v>1718</v>
      </c>
      <c r="L1245" s="161">
        <v>0.96</v>
      </c>
      <c r="M1245" s="21" t="s">
        <v>1719</v>
      </c>
      <c r="N1245" s="161" t="s">
        <v>108</v>
      </c>
      <c r="O1245" s="21" t="s">
        <v>1690</v>
      </c>
      <c r="P1245" s="161">
        <v>0.9</v>
      </c>
      <c r="Q1245" s="21" t="s">
        <v>1720</v>
      </c>
      <c r="R1245" s="161" t="s">
        <v>1440</v>
      </c>
      <c r="S1245" s="161" t="s">
        <v>1721</v>
      </c>
      <c r="T1245" s="161" t="s">
        <v>1729</v>
      </c>
      <c r="U1245" s="161" t="s">
        <v>73</v>
      </c>
      <c r="V1245" s="21" t="s">
        <v>1723</v>
      </c>
      <c r="W1245" s="21" t="s">
        <v>1724</v>
      </c>
      <c r="X1245" s="161" t="s">
        <v>1725</v>
      </c>
      <c r="Y1245" s="161">
        <v>0.01</v>
      </c>
      <c r="Z1245" s="161">
        <v>1</v>
      </c>
      <c r="AA1245" s="161" t="s">
        <v>77</v>
      </c>
      <c r="AB1245" s="161" t="s">
        <v>1726</v>
      </c>
      <c r="AC1245" s="266" t="str">
        <f>HYPERLINK("https://gcsvt.ru/svetodiodnyie-svetilniki/svt-str-ball-300-30w-t/","Ссылка")</f>
        <v>Ссылка</v>
      </c>
      <c r="AD1245" s="167">
        <v>7710</v>
      </c>
    </row>
    <row r="1246" spans="1:30" s="161" customFormat="1" ht="39.950000000000003" hidden="1" customHeight="1" outlineLevel="1" x14ac:dyDescent="0.25">
      <c r="A1246" s="21"/>
      <c r="B1246" s="21" t="s">
        <v>1714</v>
      </c>
      <c r="C1246" s="159" t="s">
        <v>1737</v>
      </c>
      <c r="D1246" s="161">
        <v>3450</v>
      </c>
      <c r="E1246" s="161">
        <v>30</v>
      </c>
      <c r="F1246" s="161">
        <v>115</v>
      </c>
      <c r="G1246" s="161" t="s">
        <v>1738</v>
      </c>
      <c r="H1246" s="161" t="s">
        <v>1717</v>
      </c>
      <c r="I1246" s="161">
        <v>65</v>
      </c>
      <c r="J1246" s="161" t="s">
        <v>389</v>
      </c>
      <c r="K1246" s="21" t="s">
        <v>1718</v>
      </c>
      <c r="L1246" s="161">
        <v>0.96</v>
      </c>
      <c r="M1246" s="21" t="s">
        <v>1719</v>
      </c>
      <c r="N1246" s="161" t="s">
        <v>108</v>
      </c>
      <c r="O1246" s="21" t="s">
        <v>1732</v>
      </c>
      <c r="P1246" s="161">
        <v>0.9</v>
      </c>
      <c r="Q1246" s="21" t="s">
        <v>1720</v>
      </c>
      <c r="R1246" s="161" t="s">
        <v>1440</v>
      </c>
      <c r="S1246" s="161" t="s">
        <v>1721</v>
      </c>
      <c r="T1246" s="161" t="s">
        <v>1729</v>
      </c>
      <c r="U1246" s="161" t="s">
        <v>73</v>
      </c>
      <c r="V1246" s="21" t="s">
        <v>1723</v>
      </c>
      <c r="W1246" s="21" t="s">
        <v>1724</v>
      </c>
      <c r="X1246" s="161" t="s">
        <v>1725</v>
      </c>
      <c r="Y1246" s="161">
        <v>0.01</v>
      </c>
      <c r="Z1246" s="161">
        <v>1</v>
      </c>
      <c r="AA1246" s="161" t="s">
        <v>77</v>
      </c>
      <c r="AB1246" s="161" t="s">
        <v>1726</v>
      </c>
      <c r="AC1246" s="266" t="str">
        <f>HYPERLINK("https://gcsvt.ru/svetodiodnyie-svetilniki/svt-str-ball-300-30w-g/","Ссылка")</f>
        <v>Ссылка</v>
      </c>
      <c r="AD1246" s="167">
        <v>7904</v>
      </c>
    </row>
    <row r="1247" spans="1:30" s="161" customFormat="1" ht="39.950000000000003" hidden="1" customHeight="1" outlineLevel="1" x14ac:dyDescent="0.25">
      <c r="A1247" s="21"/>
      <c r="B1247" s="21" t="s">
        <v>1739</v>
      </c>
      <c r="C1247" s="159" t="s">
        <v>1740</v>
      </c>
      <c r="D1247" s="161">
        <v>4300</v>
      </c>
      <c r="E1247" s="161">
        <v>40</v>
      </c>
      <c r="F1247" s="161">
        <v>107</v>
      </c>
      <c r="G1247" s="161" t="s">
        <v>1741</v>
      </c>
      <c r="H1247" s="161" t="s">
        <v>1717</v>
      </c>
      <c r="I1247" s="161">
        <v>54</v>
      </c>
      <c r="J1247" s="161" t="s">
        <v>105</v>
      </c>
      <c r="K1247" s="21" t="s">
        <v>106</v>
      </c>
      <c r="L1247" s="161">
        <v>0.96</v>
      </c>
      <c r="M1247" s="21" t="s">
        <v>1742</v>
      </c>
      <c r="N1247" s="161" t="s">
        <v>108</v>
      </c>
      <c r="O1247" s="21" t="s">
        <v>1743</v>
      </c>
      <c r="P1247" s="161" t="s">
        <v>109</v>
      </c>
      <c r="Q1247" s="21" t="s">
        <v>1744</v>
      </c>
      <c r="R1247" s="161" t="s">
        <v>1440</v>
      </c>
      <c r="S1247" s="161" t="s">
        <v>1575</v>
      </c>
      <c r="T1247" s="161" t="s">
        <v>1576</v>
      </c>
      <c r="U1247" s="161" t="s">
        <v>73</v>
      </c>
      <c r="V1247" s="21" t="s">
        <v>1745</v>
      </c>
      <c r="W1247" s="21" t="s">
        <v>1746</v>
      </c>
      <c r="X1247" s="161" t="s">
        <v>1747</v>
      </c>
      <c r="Y1247" s="161">
        <v>0.01</v>
      </c>
      <c r="Z1247" s="161">
        <v>4</v>
      </c>
      <c r="AA1247" s="161" t="s">
        <v>77</v>
      </c>
      <c r="AB1247" s="161" t="s">
        <v>114</v>
      </c>
      <c r="AC1247" s="266" t="str">
        <f>HYPERLINK("https://gcsvt.ru/svetodiodnyie-svetilniki/svt-str-retro-40w-m-3000k/","Ссылка")</f>
        <v>Ссылка</v>
      </c>
      <c r="AD1247" s="167">
        <v>22629</v>
      </c>
    </row>
    <row r="1248" spans="1:30" s="161" customFormat="1" ht="39.950000000000003" hidden="1" customHeight="1" outlineLevel="1" x14ac:dyDescent="0.25">
      <c r="A1248" s="21"/>
      <c r="B1248" s="21" t="s">
        <v>1739</v>
      </c>
      <c r="C1248" s="159" t="s">
        <v>1748</v>
      </c>
      <c r="D1248" s="161">
        <v>4300</v>
      </c>
      <c r="E1248" s="161">
        <v>40</v>
      </c>
      <c r="F1248" s="161">
        <v>107</v>
      </c>
      <c r="G1248" s="161" t="s">
        <v>1749</v>
      </c>
      <c r="H1248" s="161" t="s">
        <v>1717</v>
      </c>
      <c r="I1248" s="161">
        <v>54</v>
      </c>
      <c r="J1248" s="161" t="s">
        <v>105</v>
      </c>
      <c r="K1248" s="21" t="s">
        <v>106</v>
      </c>
      <c r="L1248" s="161">
        <v>0.96</v>
      </c>
      <c r="M1248" s="21" t="s">
        <v>1742</v>
      </c>
      <c r="N1248" s="161" t="s">
        <v>108</v>
      </c>
      <c r="O1248" s="21" t="s">
        <v>1743</v>
      </c>
      <c r="P1248" s="161" t="s">
        <v>109</v>
      </c>
      <c r="Q1248" s="21" t="s">
        <v>1750</v>
      </c>
      <c r="R1248" s="161" t="s">
        <v>1440</v>
      </c>
      <c r="S1248" s="161" t="s">
        <v>1575</v>
      </c>
      <c r="T1248" s="161" t="s">
        <v>1576</v>
      </c>
      <c r="U1248" s="161" t="s">
        <v>73</v>
      </c>
      <c r="V1248" s="21" t="s">
        <v>1745</v>
      </c>
      <c r="W1248" s="21" t="s">
        <v>1746</v>
      </c>
      <c r="X1248" s="161" t="s">
        <v>1747</v>
      </c>
      <c r="Y1248" s="161">
        <v>0.01</v>
      </c>
      <c r="Z1248" s="161">
        <v>4</v>
      </c>
      <c r="AA1248" s="161" t="s">
        <v>77</v>
      </c>
      <c r="AB1248" s="161" t="s">
        <v>114</v>
      </c>
      <c r="AC1248" s="266" t="str">
        <f>HYPERLINK("https://gcsvt.ru/svetodiodnyie-svetilniki/svt-str-retro-40w-m-4000k/","Ссылка")</f>
        <v>Ссылка</v>
      </c>
      <c r="AD1248" s="167">
        <v>22629</v>
      </c>
    </row>
    <row r="1249" spans="1:30" s="161" customFormat="1" ht="39.950000000000003" hidden="1" customHeight="1" outlineLevel="1" x14ac:dyDescent="0.25">
      <c r="A1249" s="21"/>
      <c r="B1249" s="21" t="s">
        <v>1739</v>
      </c>
      <c r="C1249" s="159" t="s">
        <v>1751</v>
      </c>
      <c r="D1249" s="161">
        <v>4300</v>
      </c>
      <c r="E1249" s="161">
        <v>40</v>
      </c>
      <c r="F1249" s="161">
        <v>107</v>
      </c>
      <c r="G1249" s="161" t="s">
        <v>1752</v>
      </c>
      <c r="H1249" s="161" t="s">
        <v>1717</v>
      </c>
      <c r="I1249" s="161">
        <v>54</v>
      </c>
      <c r="J1249" s="161" t="s">
        <v>105</v>
      </c>
      <c r="K1249" s="21" t="s">
        <v>106</v>
      </c>
      <c r="L1249" s="161">
        <v>0.96</v>
      </c>
      <c r="M1249" s="21" t="s">
        <v>1742</v>
      </c>
      <c r="N1249" s="161" t="s">
        <v>108</v>
      </c>
      <c r="O1249" s="21" t="s">
        <v>1743</v>
      </c>
      <c r="P1249" s="161" t="s">
        <v>109</v>
      </c>
      <c r="Q1249" s="21" t="s">
        <v>1720</v>
      </c>
      <c r="R1249" s="161" t="s">
        <v>1440</v>
      </c>
      <c r="S1249" s="161" t="s">
        <v>1575</v>
      </c>
      <c r="T1249" s="161" t="s">
        <v>1576</v>
      </c>
      <c r="U1249" s="161" t="s">
        <v>73</v>
      </c>
      <c r="V1249" s="21" t="s">
        <v>1745</v>
      </c>
      <c r="W1249" s="21" t="s">
        <v>1746</v>
      </c>
      <c r="X1249" s="161" t="s">
        <v>1747</v>
      </c>
      <c r="Y1249" s="161">
        <v>0.01</v>
      </c>
      <c r="Z1249" s="161">
        <v>4</v>
      </c>
      <c r="AA1249" s="161" t="s">
        <v>77</v>
      </c>
      <c r="AB1249" s="161" t="s">
        <v>114</v>
      </c>
      <c r="AC1249" s="266" t="str">
        <f>HYPERLINK("https://gcsvt.ru/svetodiodnyie-svetilniki/svt-str-retro-40w-m-5000k/","Ссылка")</f>
        <v>Ссылка</v>
      </c>
      <c r="AD1249" s="167">
        <v>22629</v>
      </c>
    </row>
    <row r="1250" spans="1:30" s="161" customFormat="1" ht="39.950000000000003" customHeight="1" x14ac:dyDescent="0.25">
      <c r="A1250" s="207" t="s">
        <v>3993</v>
      </c>
      <c r="B1250" s="182"/>
      <c r="C1250" s="183"/>
      <c r="D1250" s="183"/>
      <c r="E1250" s="183"/>
      <c r="F1250" s="183"/>
      <c r="G1250" s="183"/>
      <c r="H1250" s="181"/>
      <c r="I1250" s="181"/>
      <c r="J1250" s="174"/>
      <c r="K1250" s="113"/>
      <c r="L1250" s="174"/>
      <c r="M1250" s="113"/>
      <c r="N1250" s="174"/>
      <c r="O1250" s="113"/>
      <c r="P1250" s="174"/>
      <c r="Q1250" s="113"/>
      <c r="R1250" s="174"/>
      <c r="S1250" s="174"/>
      <c r="T1250" s="174"/>
      <c r="U1250" s="174"/>
      <c r="V1250" s="113"/>
      <c r="W1250" s="113"/>
      <c r="X1250" s="174"/>
      <c r="Y1250" s="174"/>
      <c r="Z1250" s="174"/>
      <c r="AA1250" s="174"/>
      <c r="AB1250" s="174"/>
      <c r="AC1250" s="224"/>
      <c r="AD1250" s="175"/>
    </row>
    <row r="1251" spans="1:30" s="161" customFormat="1" ht="39.950000000000003" customHeight="1" collapsed="1" x14ac:dyDescent="0.25">
      <c r="A1251" s="165"/>
      <c r="B1251" s="195" t="s">
        <v>3995</v>
      </c>
      <c r="C1251" s="202"/>
      <c r="D1251" s="163"/>
      <c r="E1251" s="163"/>
      <c r="F1251" s="163"/>
      <c r="G1251" s="163"/>
      <c r="H1251" s="163"/>
      <c r="I1251" s="163"/>
      <c r="J1251" s="163"/>
      <c r="K1251" s="75"/>
      <c r="L1251" s="163"/>
      <c r="M1251" s="75"/>
      <c r="N1251" s="163"/>
      <c r="O1251" s="75"/>
      <c r="P1251" s="163"/>
      <c r="Q1251" s="75"/>
      <c r="R1251" s="163"/>
      <c r="S1251" s="163"/>
      <c r="T1251" s="163"/>
      <c r="U1251" s="163"/>
      <c r="V1251" s="75"/>
      <c r="W1251" s="75"/>
      <c r="X1251" s="163"/>
      <c r="Y1251" s="163"/>
      <c r="Z1251" s="163"/>
      <c r="AA1251" s="163"/>
      <c r="AB1251" s="163"/>
      <c r="AC1251" s="227"/>
      <c r="AD1251" s="164"/>
    </row>
    <row r="1252" spans="1:30" s="161" customFormat="1" ht="39.950000000000003" hidden="1" customHeight="1" outlineLevel="1" x14ac:dyDescent="0.25">
      <c r="B1252" s="21" t="s">
        <v>1614</v>
      </c>
      <c r="C1252" s="234" t="s">
        <v>3878</v>
      </c>
      <c r="D1252" s="161">
        <v>4030</v>
      </c>
      <c r="E1252" s="161">
        <v>31</v>
      </c>
      <c r="F1252" s="167">
        <v>130</v>
      </c>
      <c r="G1252" s="161" t="s">
        <v>3885</v>
      </c>
      <c r="H1252" s="161" t="s">
        <v>138</v>
      </c>
      <c r="I1252" s="161">
        <v>54</v>
      </c>
      <c r="J1252" s="161" t="s">
        <v>105</v>
      </c>
      <c r="K1252" s="21" t="s">
        <v>106</v>
      </c>
      <c r="L1252" s="161" t="s">
        <v>3380</v>
      </c>
      <c r="M1252" s="21" t="s">
        <v>1619</v>
      </c>
      <c r="N1252" s="161" t="s">
        <v>108</v>
      </c>
      <c r="O1252" s="21" t="s">
        <v>2131</v>
      </c>
      <c r="P1252" s="161" t="s">
        <v>109</v>
      </c>
      <c r="Q1252" s="21" t="s">
        <v>2288</v>
      </c>
      <c r="R1252" s="161">
        <v>80</v>
      </c>
      <c r="S1252" s="161" t="s">
        <v>3377</v>
      </c>
      <c r="T1252" s="161" t="s">
        <v>1692</v>
      </c>
      <c r="U1252" s="161" t="s">
        <v>2007</v>
      </c>
      <c r="V1252" s="21" t="s">
        <v>1622</v>
      </c>
      <c r="W1252" s="21" t="s">
        <v>1623</v>
      </c>
      <c r="X1252" s="161" t="s">
        <v>1912</v>
      </c>
      <c r="Y1252" s="161">
        <v>1.4760000000000001E-2</v>
      </c>
      <c r="Z1252" s="161">
        <v>1.2</v>
      </c>
      <c r="AA1252" s="161" t="s">
        <v>1625</v>
      </c>
      <c r="AB1252" s="161" t="s">
        <v>391</v>
      </c>
      <c r="AC1252" s="266" t="str">
        <f>HYPERLINK("https://gcsvt.ru/svetodiodnyie-svetilniki/svt-arm-u-air-595x595x34-31w-ip54-pr/","Ссылка")</f>
        <v>Ссылка</v>
      </c>
      <c r="AD1252" s="167">
        <v>2686</v>
      </c>
    </row>
    <row r="1253" spans="1:30" s="161" customFormat="1" ht="39.950000000000003" hidden="1" customHeight="1" outlineLevel="1" x14ac:dyDescent="0.25">
      <c r="B1253" s="21" t="s">
        <v>1614</v>
      </c>
      <c r="C1253" s="234" t="s">
        <v>3879</v>
      </c>
      <c r="D1253" s="161">
        <v>3600</v>
      </c>
      <c r="E1253" s="161">
        <v>31</v>
      </c>
      <c r="F1253" s="167">
        <v>116.12903225806451</v>
      </c>
      <c r="G1253" s="161" t="s">
        <v>3888</v>
      </c>
      <c r="H1253" s="161" t="s">
        <v>138</v>
      </c>
      <c r="I1253" s="161">
        <v>54</v>
      </c>
      <c r="J1253" s="161" t="s">
        <v>105</v>
      </c>
      <c r="K1253" s="21" t="s">
        <v>106</v>
      </c>
      <c r="L1253" s="161" t="s">
        <v>3380</v>
      </c>
      <c r="M1253" s="21" t="s">
        <v>1619</v>
      </c>
      <c r="N1253" s="161" t="s">
        <v>108</v>
      </c>
      <c r="O1253" s="21" t="s">
        <v>2809</v>
      </c>
      <c r="P1253" s="161" t="s">
        <v>109</v>
      </c>
      <c r="Q1253" s="21" t="s">
        <v>2288</v>
      </c>
      <c r="R1253" s="161">
        <v>80</v>
      </c>
      <c r="S1253" s="161" t="s">
        <v>3377</v>
      </c>
      <c r="T1253" s="161" t="s">
        <v>1692</v>
      </c>
      <c r="U1253" s="161" t="s">
        <v>2007</v>
      </c>
      <c r="V1253" s="21" t="s">
        <v>1622</v>
      </c>
      <c r="W1253" s="21" t="s">
        <v>1623</v>
      </c>
      <c r="X1253" s="161" t="s">
        <v>1912</v>
      </c>
      <c r="Y1253" s="161">
        <v>1.4760000000000001E-2</v>
      </c>
      <c r="Z1253" s="161">
        <v>1.2</v>
      </c>
      <c r="AA1253" s="161" t="s">
        <v>1625</v>
      </c>
      <c r="AB1253" s="161" t="s">
        <v>391</v>
      </c>
      <c r="AC1253" s="266" t="str">
        <f>HYPERLINK("https://gcsvt.ru/svetodiodnyie-svetilniki/svt-arm-u-air-595x595x34-31w-ip54-m/","Ссылка")</f>
        <v>Ссылка</v>
      </c>
      <c r="AD1253" s="167">
        <v>2780</v>
      </c>
    </row>
    <row r="1254" spans="1:30" s="161" customFormat="1" ht="39.950000000000003" hidden="1" customHeight="1" outlineLevel="1" x14ac:dyDescent="0.25">
      <c r="B1254" s="21" t="s">
        <v>1614</v>
      </c>
      <c r="C1254" s="234" t="s">
        <v>3880</v>
      </c>
      <c r="D1254" s="161">
        <v>4680</v>
      </c>
      <c r="E1254" s="161">
        <v>36</v>
      </c>
      <c r="F1254" s="167">
        <v>130</v>
      </c>
      <c r="G1254" s="161" t="s">
        <v>3887</v>
      </c>
      <c r="H1254" s="161" t="s">
        <v>138</v>
      </c>
      <c r="I1254" s="161">
        <v>54</v>
      </c>
      <c r="J1254" s="161" t="s">
        <v>105</v>
      </c>
      <c r="K1254" s="21" t="s">
        <v>106</v>
      </c>
      <c r="L1254" s="161" t="s">
        <v>3380</v>
      </c>
      <c r="M1254" s="21" t="s">
        <v>1619</v>
      </c>
      <c r="N1254" s="161" t="s">
        <v>108</v>
      </c>
      <c r="O1254" s="21" t="s">
        <v>2131</v>
      </c>
      <c r="P1254" s="161" t="s">
        <v>109</v>
      </c>
      <c r="Q1254" s="21" t="s">
        <v>2288</v>
      </c>
      <c r="R1254" s="161">
        <v>80</v>
      </c>
      <c r="S1254" s="161" t="s">
        <v>3377</v>
      </c>
      <c r="T1254" s="161" t="s">
        <v>1692</v>
      </c>
      <c r="U1254" s="161" t="s">
        <v>2007</v>
      </c>
      <c r="V1254" s="21" t="s">
        <v>1622</v>
      </c>
      <c r="W1254" s="21" t="s">
        <v>1623</v>
      </c>
      <c r="X1254" s="161" t="s">
        <v>1912</v>
      </c>
      <c r="Y1254" s="161">
        <v>1.4760000000000001E-2</v>
      </c>
      <c r="Z1254" s="161">
        <v>1.2</v>
      </c>
      <c r="AA1254" s="161" t="s">
        <v>1625</v>
      </c>
      <c r="AB1254" s="161" t="s">
        <v>391</v>
      </c>
      <c r="AC1254" s="266" t="str">
        <f>HYPERLINK("https://gcsvt.ru/svetodiodnyie-svetilniki/svt-arm-u-air-595x595x34-36w-ip54-pr/","Ссылка")</f>
        <v>Ссылка</v>
      </c>
      <c r="AD1254" s="167">
        <v>2763</v>
      </c>
    </row>
    <row r="1255" spans="1:30" s="161" customFormat="1" ht="39.950000000000003" hidden="1" customHeight="1" outlineLevel="1" x14ac:dyDescent="0.25">
      <c r="B1255" s="21" t="s">
        <v>1614</v>
      </c>
      <c r="C1255" s="234" t="s">
        <v>3881</v>
      </c>
      <c r="D1255" s="161">
        <v>4180</v>
      </c>
      <c r="E1255" s="161">
        <v>36</v>
      </c>
      <c r="F1255" s="167">
        <v>116.11111111111111</v>
      </c>
      <c r="G1255" s="161" t="s">
        <v>3886</v>
      </c>
      <c r="H1255" s="161" t="s">
        <v>138</v>
      </c>
      <c r="I1255" s="161">
        <v>54</v>
      </c>
      <c r="J1255" s="161" t="s">
        <v>105</v>
      </c>
      <c r="K1255" s="21" t="s">
        <v>106</v>
      </c>
      <c r="L1255" s="161" t="s">
        <v>3380</v>
      </c>
      <c r="M1255" s="21" t="s">
        <v>1619</v>
      </c>
      <c r="N1255" s="161" t="s">
        <v>108</v>
      </c>
      <c r="O1255" s="21" t="s">
        <v>2809</v>
      </c>
      <c r="P1255" s="161" t="s">
        <v>109</v>
      </c>
      <c r="Q1255" s="21" t="s">
        <v>2288</v>
      </c>
      <c r="R1255" s="161">
        <v>80</v>
      </c>
      <c r="S1255" s="161" t="s">
        <v>3377</v>
      </c>
      <c r="T1255" s="161" t="s">
        <v>1692</v>
      </c>
      <c r="U1255" s="161" t="s">
        <v>2007</v>
      </c>
      <c r="V1255" s="21" t="s">
        <v>1622</v>
      </c>
      <c r="W1255" s="21" t="s">
        <v>1623</v>
      </c>
      <c r="X1255" s="161" t="s">
        <v>1912</v>
      </c>
      <c r="Y1255" s="161">
        <v>1.4760000000000001E-2</v>
      </c>
      <c r="Z1255" s="161">
        <v>1.2</v>
      </c>
      <c r="AA1255" s="161" t="s">
        <v>1625</v>
      </c>
      <c r="AB1255" s="161" t="s">
        <v>391</v>
      </c>
      <c r="AC1255" s="266" t="str">
        <f>HYPERLINK("https://gcsvt.ru/svetodiodnyie-svetilniki/svt-arm-u-air-595x595x34-36w-ip54-m/","Ссылка")</f>
        <v>Ссылка</v>
      </c>
      <c r="AD1255" s="167">
        <v>2856</v>
      </c>
    </row>
    <row r="1256" spans="1:30" s="146" customFormat="1" ht="39.950000000000003" hidden="1" customHeight="1" outlineLevel="1" x14ac:dyDescent="0.25">
      <c r="A1256" s="114"/>
      <c r="B1256" s="114" t="s">
        <v>1614</v>
      </c>
      <c r="C1256" s="157" t="s">
        <v>4316</v>
      </c>
      <c r="D1256" s="146">
        <v>4030</v>
      </c>
      <c r="E1256" s="146">
        <v>31</v>
      </c>
      <c r="F1256" s="146">
        <v>130</v>
      </c>
      <c r="G1256" s="146" t="s">
        <v>4343</v>
      </c>
      <c r="H1256" s="146" t="s">
        <v>138</v>
      </c>
      <c r="I1256" s="146">
        <v>54</v>
      </c>
      <c r="J1256" s="146" t="s">
        <v>389</v>
      </c>
      <c r="K1256" s="114" t="s">
        <v>106</v>
      </c>
      <c r="L1256" s="146" t="s">
        <v>1618</v>
      </c>
      <c r="M1256" s="114" t="s">
        <v>1619</v>
      </c>
      <c r="N1256" s="146" t="s">
        <v>108</v>
      </c>
      <c r="O1256" s="114" t="s">
        <v>1620</v>
      </c>
      <c r="P1256" s="146" t="s">
        <v>109</v>
      </c>
      <c r="Q1256" s="114" t="s">
        <v>70</v>
      </c>
      <c r="R1256" s="146">
        <v>80</v>
      </c>
      <c r="S1256" s="146" t="s">
        <v>1621</v>
      </c>
      <c r="T1256" s="146" t="s">
        <v>141</v>
      </c>
      <c r="U1256" s="146" t="s">
        <v>2007</v>
      </c>
      <c r="V1256" s="114" t="s">
        <v>1622</v>
      </c>
      <c r="W1256" s="114" t="s">
        <v>1623</v>
      </c>
      <c r="X1256" s="146" t="s">
        <v>1624</v>
      </c>
      <c r="Y1256" s="146">
        <v>1.4760000000000001E-2</v>
      </c>
      <c r="Z1256" s="146">
        <v>1.2</v>
      </c>
      <c r="AA1256" s="146" t="s">
        <v>1625</v>
      </c>
      <c r="AB1256" s="146" t="s">
        <v>1626</v>
      </c>
      <c r="AC1256" s="266" t="str">
        <f>HYPERLINK("https://gcsvt.ru/svetodiodnyie-svetilniki/svt-arm-u-air-1195x200x34-31w-ip54-pr/","Ссылка")</f>
        <v>Ссылка</v>
      </c>
      <c r="AD1256" s="237">
        <v>3247</v>
      </c>
    </row>
    <row r="1257" spans="1:30" s="146" customFormat="1" ht="39.950000000000003" hidden="1" customHeight="1" outlineLevel="1" x14ac:dyDescent="0.25">
      <c r="A1257" s="114"/>
      <c r="B1257" s="114" t="s">
        <v>1614</v>
      </c>
      <c r="C1257" s="157" t="s">
        <v>4317</v>
      </c>
      <c r="D1257" s="146">
        <v>4680</v>
      </c>
      <c r="E1257" s="146">
        <v>36</v>
      </c>
      <c r="F1257" s="146">
        <v>130</v>
      </c>
      <c r="G1257" s="146" t="s">
        <v>4344</v>
      </c>
      <c r="H1257" s="146" t="s">
        <v>138</v>
      </c>
      <c r="I1257" s="146">
        <v>54</v>
      </c>
      <c r="J1257" s="146" t="s">
        <v>389</v>
      </c>
      <c r="K1257" s="114" t="s">
        <v>106</v>
      </c>
      <c r="L1257" s="146" t="s">
        <v>1618</v>
      </c>
      <c r="M1257" s="114" t="s">
        <v>1619</v>
      </c>
      <c r="N1257" s="146" t="s">
        <v>108</v>
      </c>
      <c r="O1257" s="114" t="s">
        <v>1620</v>
      </c>
      <c r="P1257" s="146" t="s">
        <v>109</v>
      </c>
      <c r="Q1257" s="114" t="s">
        <v>70</v>
      </c>
      <c r="R1257" s="146">
        <v>80</v>
      </c>
      <c r="S1257" s="146" t="s">
        <v>1621</v>
      </c>
      <c r="T1257" s="146" t="s">
        <v>141</v>
      </c>
      <c r="U1257" s="146" t="s">
        <v>2007</v>
      </c>
      <c r="V1257" s="114" t="s">
        <v>1622</v>
      </c>
      <c r="W1257" s="114" t="s">
        <v>1623</v>
      </c>
      <c r="X1257" s="146" t="s">
        <v>1624</v>
      </c>
      <c r="Y1257" s="146">
        <v>1.4760000000000001E-2</v>
      </c>
      <c r="Z1257" s="146">
        <v>1.2</v>
      </c>
      <c r="AA1257" s="146" t="s">
        <v>1625</v>
      </c>
      <c r="AB1257" s="146" t="s">
        <v>1626</v>
      </c>
      <c r="AC1257" s="266" t="str">
        <f>HYPERLINK("https://gcsvt.ru/svetodiodnyie-svetilniki/svt-arm-u-air-1195x200x34-36w-ip54-pr/","Ссылка")</f>
        <v>Ссылка</v>
      </c>
      <c r="AD1257" s="237">
        <v>3332</v>
      </c>
    </row>
    <row r="1258" spans="1:30" s="161" customFormat="1" ht="39.950000000000003" hidden="1" customHeight="1" outlineLevel="1" x14ac:dyDescent="0.25">
      <c r="A1258" s="21"/>
      <c r="B1258" s="21" t="s">
        <v>1929</v>
      </c>
      <c r="C1258" s="159" t="s">
        <v>2933</v>
      </c>
      <c r="D1258" s="161">
        <v>3884</v>
      </c>
      <c r="E1258" s="161">
        <v>28</v>
      </c>
      <c r="F1258" s="167">
        <v>138.71428571428572</v>
      </c>
      <c r="G1258" s="161" t="s">
        <v>2948</v>
      </c>
      <c r="H1258" s="161" t="s">
        <v>138</v>
      </c>
      <c r="I1258" s="161">
        <v>20</v>
      </c>
      <c r="J1258" s="161" t="s">
        <v>105</v>
      </c>
      <c r="K1258" s="21" t="s">
        <v>106</v>
      </c>
      <c r="L1258" s="161" t="s">
        <v>3380</v>
      </c>
      <c r="M1258" s="21" t="s">
        <v>2107</v>
      </c>
      <c r="N1258" s="161" t="s">
        <v>67</v>
      </c>
      <c r="O1258" s="21" t="s">
        <v>2131</v>
      </c>
      <c r="P1258" s="161" t="s">
        <v>109</v>
      </c>
      <c r="Q1258" s="21" t="s">
        <v>2288</v>
      </c>
      <c r="R1258" s="161">
        <v>80</v>
      </c>
      <c r="S1258" s="161" t="s">
        <v>2787</v>
      </c>
      <c r="T1258" s="161" t="s">
        <v>2785</v>
      </c>
      <c r="U1258" s="161" t="s">
        <v>2007</v>
      </c>
      <c r="V1258" s="21" t="s">
        <v>1931</v>
      </c>
      <c r="W1258" s="21" t="s">
        <v>1623</v>
      </c>
      <c r="X1258" s="161" t="s">
        <v>1932</v>
      </c>
      <c r="Y1258" s="161">
        <v>1.4760000000000001E-2</v>
      </c>
      <c r="Z1258" s="161">
        <v>2.2999999999999998</v>
      </c>
      <c r="AA1258" s="161" t="s">
        <v>1933</v>
      </c>
      <c r="AB1258" s="161" t="s">
        <v>114</v>
      </c>
      <c r="AC1258" s="266" t="str">
        <f>HYPERLINK("https://gcsvt.ru/svetodiodnyie-svetilniki/svt-arm-u-1200x180x40-28w-pr/","Ссылка")</f>
        <v>Ссылка</v>
      </c>
      <c r="AD1258" s="167">
        <v>3851</v>
      </c>
    </row>
    <row r="1259" spans="1:30" s="161" customFormat="1" ht="39.950000000000003" hidden="1" customHeight="1" outlineLevel="1" x14ac:dyDescent="0.25">
      <c r="A1259" s="21"/>
      <c r="B1259" s="21" t="s">
        <v>1929</v>
      </c>
      <c r="C1259" s="159" t="s">
        <v>2934</v>
      </c>
      <c r="D1259" s="161">
        <v>5054</v>
      </c>
      <c r="E1259" s="161">
        <v>38</v>
      </c>
      <c r="F1259" s="167">
        <v>133</v>
      </c>
      <c r="G1259" s="161" t="s">
        <v>2949</v>
      </c>
      <c r="H1259" s="161" t="s">
        <v>138</v>
      </c>
      <c r="I1259" s="161">
        <v>20</v>
      </c>
      <c r="J1259" s="161" t="s">
        <v>105</v>
      </c>
      <c r="K1259" s="21" t="s">
        <v>106</v>
      </c>
      <c r="L1259" s="161" t="s">
        <v>3380</v>
      </c>
      <c r="M1259" s="21" t="s">
        <v>2107</v>
      </c>
      <c r="N1259" s="161" t="s">
        <v>67</v>
      </c>
      <c r="O1259" s="21" t="s">
        <v>2131</v>
      </c>
      <c r="P1259" s="161" t="s">
        <v>109</v>
      </c>
      <c r="Q1259" s="21" t="s">
        <v>2288</v>
      </c>
      <c r="R1259" s="161">
        <v>80</v>
      </c>
      <c r="S1259" s="161" t="s">
        <v>2788</v>
      </c>
      <c r="T1259" s="161" t="s">
        <v>2786</v>
      </c>
      <c r="U1259" s="161" t="s">
        <v>2007</v>
      </c>
      <c r="V1259" s="21" t="s">
        <v>1931</v>
      </c>
      <c r="W1259" s="21" t="s">
        <v>1623</v>
      </c>
      <c r="X1259" s="161" t="s">
        <v>1932</v>
      </c>
      <c r="Y1259" s="161">
        <v>1.4760000000000001E-2</v>
      </c>
      <c r="Z1259" s="161">
        <v>2.2999999999999998</v>
      </c>
      <c r="AA1259" s="161" t="s">
        <v>1933</v>
      </c>
      <c r="AB1259" s="161" t="s">
        <v>114</v>
      </c>
      <c r="AC1259" s="266" t="str">
        <f>HYPERLINK("https://gcsvt.ru/svetodiodnyie-svetilniki/svt-arm-u-1200x180x40-38w-pr/","Ссылка")</f>
        <v>Ссылка</v>
      </c>
      <c r="AD1259" s="167">
        <v>4063</v>
      </c>
    </row>
    <row r="1260" spans="1:30" s="161" customFormat="1" ht="39.950000000000003" hidden="1" customHeight="1" outlineLevel="1" x14ac:dyDescent="0.25">
      <c r="A1260" s="21"/>
      <c r="B1260" s="21" t="s">
        <v>1929</v>
      </c>
      <c r="C1260" s="159" t="s">
        <v>1934</v>
      </c>
      <c r="D1260" s="238">
        <v>2530</v>
      </c>
      <c r="E1260" s="161">
        <v>19</v>
      </c>
      <c r="F1260" s="161">
        <v>133</v>
      </c>
      <c r="G1260" s="161" t="s">
        <v>1935</v>
      </c>
      <c r="H1260" s="161" t="s">
        <v>138</v>
      </c>
      <c r="I1260" s="161">
        <v>20</v>
      </c>
      <c r="J1260" s="161" t="s">
        <v>389</v>
      </c>
      <c r="K1260" s="21" t="s">
        <v>106</v>
      </c>
      <c r="L1260" s="161" t="s">
        <v>3380</v>
      </c>
      <c r="M1260" s="21" t="s">
        <v>2107</v>
      </c>
      <c r="N1260" s="161" t="s">
        <v>67</v>
      </c>
      <c r="O1260" s="21" t="s">
        <v>1930</v>
      </c>
      <c r="P1260" s="161" t="s">
        <v>109</v>
      </c>
      <c r="Q1260" s="21" t="s">
        <v>70</v>
      </c>
      <c r="R1260" s="161">
        <v>80</v>
      </c>
      <c r="S1260" s="161" t="s">
        <v>1936</v>
      </c>
      <c r="T1260" s="161" t="s">
        <v>1768</v>
      </c>
      <c r="U1260" s="161" t="s">
        <v>2007</v>
      </c>
      <c r="V1260" s="21" t="s">
        <v>1931</v>
      </c>
      <c r="W1260" s="21" t="s">
        <v>1623</v>
      </c>
      <c r="X1260" s="161" t="s">
        <v>1937</v>
      </c>
      <c r="Y1260" s="161">
        <v>1.1904E-2</v>
      </c>
      <c r="Z1260" s="161">
        <v>1.855</v>
      </c>
      <c r="AA1260" s="161" t="s">
        <v>1933</v>
      </c>
      <c r="AB1260" s="161" t="s">
        <v>114</v>
      </c>
      <c r="AC1260" s="266" t="str">
        <f>HYPERLINK("https://gcsvt.ru/svetodiodnyie-svetilniki/svt-arm-u-595x295x40-18w-pr/","Ссылка")</f>
        <v>Ссылка</v>
      </c>
      <c r="AD1260" s="167">
        <v>3196</v>
      </c>
    </row>
    <row r="1261" spans="1:30" s="161" customFormat="1" ht="39.950000000000003" hidden="1" customHeight="1" outlineLevel="1" x14ac:dyDescent="0.25">
      <c r="A1261" s="21"/>
      <c r="B1261" s="21" t="s">
        <v>1938</v>
      </c>
      <c r="C1261" s="159" t="s">
        <v>4318</v>
      </c>
      <c r="D1261" s="238">
        <v>4180</v>
      </c>
      <c r="E1261" s="161">
        <v>36</v>
      </c>
      <c r="F1261" s="238">
        <v>116</v>
      </c>
      <c r="G1261" s="161" t="s">
        <v>4345</v>
      </c>
      <c r="H1261" s="161" t="s">
        <v>138</v>
      </c>
      <c r="I1261" s="161">
        <v>40</v>
      </c>
      <c r="J1261" s="161" t="s">
        <v>105</v>
      </c>
      <c r="K1261" s="21" t="s">
        <v>106</v>
      </c>
      <c r="L1261" s="161" t="s">
        <v>3380</v>
      </c>
      <c r="M1261" s="21" t="s">
        <v>1940</v>
      </c>
      <c r="N1261" s="161" t="s">
        <v>67</v>
      </c>
      <c r="O1261" s="21" t="s">
        <v>2809</v>
      </c>
      <c r="P1261" s="161" t="s">
        <v>109</v>
      </c>
      <c r="Q1261" s="21" t="s">
        <v>1941</v>
      </c>
      <c r="R1261" s="161">
        <v>80</v>
      </c>
      <c r="S1261" s="161" t="s">
        <v>1942</v>
      </c>
      <c r="T1261" s="161" t="s">
        <v>141</v>
      </c>
      <c r="U1261" s="161" t="s">
        <v>2007</v>
      </c>
      <c r="V1261" s="21" t="s">
        <v>1943</v>
      </c>
      <c r="W1261" s="21" t="s">
        <v>1944</v>
      </c>
      <c r="X1261" s="161" t="s">
        <v>2779</v>
      </c>
      <c r="Y1261" s="161">
        <v>1.1904E-2</v>
      </c>
      <c r="Z1261" s="161">
        <v>2.5</v>
      </c>
      <c r="AA1261" s="161" t="s">
        <v>1933</v>
      </c>
      <c r="AB1261" s="161" t="s">
        <v>114</v>
      </c>
      <c r="AC1261" s="266" t="str">
        <f>HYPERLINK("https://gcsvt.ru/svetodiodnyie-svetilniki/svt-arm-rp-1240x290x90-36w-m-4000k/","Ссылка")</f>
        <v>Ссылка</v>
      </c>
      <c r="AD1261" s="16" t="s">
        <v>2859</v>
      </c>
    </row>
    <row r="1262" spans="1:30" s="161" customFormat="1" ht="39.950000000000003" hidden="1" customHeight="1" outlineLevel="1" x14ac:dyDescent="0.25">
      <c r="A1262" s="21"/>
      <c r="B1262" s="21" t="s">
        <v>1938</v>
      </c>
      <c r="C1262" s="159" t="s">
        <v>4319</v>
      </c>
      <c r="D1262" s="238">
        <v>2090</v>
      </c>
      <c r="E1262" s="161">
        <v>18</v>
      </c>
      <c r="F1262" s="238">
        <v>116</v>
      </c>
      <c r="G1262" s="161" t="s">
        <v>4346</v>
      </c>
      <c r="H1262" s="161" t="s">
        <v>138</v>
      </c>
      <c r="I1262" s="161">
        <v>40</v>
      </c>
      <c r="J1262" s="161" t="s">
        <v>105</v>
      </c>
      <c r="K1262" s="21" t="s">
        <v>106</v>
      </c>
      <c r="L1262" s="161" t="s">
        <v>3380</v>
      </c>
      <c r="M1262" s="21" t="s">
        <v>1940</v>
      </c>
      <c r="N1262" s="161" t="s">
        <v>67</v>
      </c>
      <c r="O1262" s="21" t="s">
        <v>2809</v>
      </c>
      <c r="P1262" s="161" t="s">
        <v>109</v>
      </c>
      <c r="Q1262" s="21" t="s">
        <v>1941</v>
      </c>
      <c r="R1262" s="161">
        <v>80</v>
      </c>
      <c r="S1262" s="161" t="s">
        <v>1949</v>
      </c>
      <c r="T1262" s="161" t="s">
        <v>141</v>
      </c>
      <c r="U1262" s="161" t="s">
        <v>2007</v>
      </c>
      <c r="V1262" s="21" t="s">
        <v>1943</v>
      </c>
      <c r="W1262" s="21" t="s">
        <v>1944</v>
      </c>
      <c r="X1262" s="161" t="s">
        <v>1950</v>
      </c>
      <c r="Y1262" s="161">
        <v>1.1904E-2</v>
      </c>
      <c r="Z1262" s="161">
        <v>1.5</v>
      </c>
      <c r="AA1262" s="161" t="s">
        <v>1933</v>
      </c>
      <c r="AB1262" s="161" t="s">
        <v>114</v>
      </c>
      <c r="AC1262" s="266" t="str">
        <f>HYPERLINK("https://gcsvt.ru/svetodiodnyie-svetilniki/svt-arm-rp-706x310x100-18w-m-4000k/","Ссылка")</f>
        <v>Ссылка</v>
      </c>
      <c r="AD1262" s="16" t="s">
        <v>2859</v>
      </c>
    </row>
    <row r="1263" spans="1:30" s="161" customFormat="1" ht="39.950000000000003" hidden="1" customHeight="1" outlineLevel="1" x14ac:dyDescent="0.25">
      <c r="A1263" s="21"/>
      <c r="B1263" s="113" t="s">
        <v>2796</v>
      </c>
      <c r="C1263" s="188" t="s">
        <v>2802</v>
      </c>
      <c r="D1263" s="174">
        <v>3750</v>
      </c>
      <c r="E1263" s="174">
        <v>33</v>
      </c>
      <c r="F1263" s="239">
        <v>114</v>
      </c>
      <c r="G1263" s="174" t="s">
        <v>2806</v>
      </c>
      <c r="H1263" s="174" t="s">
        <v>138</v>
      </c>
      <c r="I1263" s="174">
        <v>54</v>
      </c>
      <c r="J1263" s="174" t="s">
        <v>105</v>
      </c>
      <c r="K1263" s="113" t="s">
        <v>106</v>
      </c>
      <c r="L1263" s="174" t="s">
        <v>3380</v>
      </c>
      <c r="M1263" s="113" t="s">
        <v>2107</v>
      </c>
      <c r="N1263" s="174" t="s">
        <v>67</v>
      </c>
      <c r="O1263" s="113" t="s">
        <v>2809</v>
      </c>
      <c r="P1263" s="174" t="s">
        <v>109</v>
      </c>
      <c r="Q1263" s="113" t="s">
        <v>2288</v>
      </c>
      <c r="R1263" s="174">
        <v>80</v>
      </c>
      <c r="S1263" s="174" t="s">
        <v>2799</v>
      </c>
      <c r="T1263" s="174" t="s">
        <v>2805</v>
      </c>
      <c r="U1263" s="174" t="s">
        <v>2007</v>
      </c>
      <c r="V1263" s="113" t="s">
        <v>1931</v>
      </c>
      <c r="W1263" s="113" t="s">
        <v>1956</v>
      </c>
      <c r="X1263" s="174" t="s">
        <v>2798</v>
      </c>
      <c r="Y1263" s="174">
        <v>2.4E-2</v>
      </c>
      <c r="Z1263" s="174">
        <v>3.3</v>
      </c>
      <c r="AA1263" s="174" t="s">
        <v>1933</v>
      </c>
      <c r="AB1263" s="174" t="s">
        <v>114</v>
      </c>
      <c r="AC1263" s="267" t="str">
        <f>HYPERLINK("https://gcsvt.ru/svetodiodnyie-svetilniki/svt-arm-b-595x595x70-33w-ip54-zr/","Ссылка")</f>
        <v>Ссылка</v>
      </c>
      <c r="AD1263" s="175">
        <v>7438</v>
      </c>
    </row>
    <row r="1264" spans="1:30" s="161" customFormat="1" ht="39.950000000000003" hidden="1" customHeight="1" outlineLevel="1" x14ac:dyDescent="0.25">
      <c r="A1264" s="21"/>
      <c r="B1264" s="21" t="s">
        <v>2796</v>
      </c>
      <c r="C1264" s="159" t="s">
        <v>2803</v>
      </c>
      <c r="D1264" s="161">
        <v>4200</v>
      </c>
      <c r="E1264" s="161">
        <v>37</v>
      </c>
      <c r="F1264" s="238">
        <v>114</v>
      </c>
      <c r="G1264" s="161" t="s">
        <v>2807</v>
      </c>
      <c r="H1264" s="161" t="s">
        <v>138</v>
      </c>
      <c r="I1264" s="161">
        <v>54</v>
      </c>
      <c r="J1264" s="161" t="s">
        <v>105</v>
      </c>
      <c r="K1264" s="21" t="s">
        <v>106</v>
      </c>
      <c r="L1264" s="161" t="s">
        <v>3380</v>
      </c>
      <c r="M1264" s="21" t="s">
        <v>2107</v>
      </c>
      <c r="N1264" s="161" t="s">
        <v>67</v>
      </c>
      <c r="O1264" s="21" t="s">
        <v>2809</v>
      </c>
      <c r="P1264" s="161" t="s">
        <v>109</v>
      </c>
      <c r="Q1264" s="21" t="s">
        <v>2288</v>
      </c>
      <c r="R1264" s="161">
        <v>80</v>
      </c>
      <c r="S1264" s="161" t="s">
        <v>2800</v>
      </c>
      <c r="T1264" s="161" t="s">
        <v>2805</v>
      </c>
      <c r="U1264" s="161" t="s">
        <v>2007</v>
      </c>
      <c r="V1264" s="21" t="s">
        <v>1931</v>
      </c>
      <c r="W1264" s="21" t="s">
        <v>1956</v>
      </c>
      <c r="X1264" s="161" t="s">
        <v>2798</v>
      </c>
      <c r="Y1264" s="161">
        <v>2.4E-2</v>
      </c>
      <c r="Z1264" s="161">
        <v>3.3</v>
      </c>
      <c r="AA1264" s="161" t="s">
        <v>1933</v>
      </c>
      <c r="AB1264" s="161" t="s">
        <v>114</v>
      </c>
      <c r="AC1264" s="266" t="str">
        <f>HYPERLINK("https://gcsvt.ru/svetodiodnyie-svetilniki/svt-arm-b-595x595x70-37w-ip54-zr/","Ссылка")</f>
        <v>Ссылка</v>
      </c>
      <c r="AD1264" s="167">
        <v>7752</v>
      </c>
    </row>
    <row r="1265" spans="1:30" s="161" customFormat="1" ht="39.950000000000003" hidden="1" customHeight="1" outlineLevel="1" x14ac:dyDescent="0.25">
      <c r="A1265" s="21"/>
      <c r="B1265" s="113" t="s">
        <v>2796</v>
      </c>
      <c r="C1265" s="188" t="s">
        <v>2804</v>
      </c>
      <c r="D1265" s="174">
        <v>4770</v>
      </c>
      <c r="E1265" s="174">
        <v>42</v>
      </c>
      <c r="F1265" s="239">
        <v>114</v>
      </c>
      <c r="G1265" s="174" t="s">
        <v>2808</v>
      </c>
      <c r="H1265" s="174" t="s">
        <v>138</v>
      </c>
      <c r="I1265" s="174">
        <v>54</v>
      </c>
      <c r="J1265" s="174" t="s">
        <v>105</v>
      </c>
      <c r="K1265" s="113" t="s">
        <v>106</v>
      </c>
      <c r="L1265" s="174" t="s">
        <v>3380</v>
      </c>
      <c r="M1265" s="113" t="s">
        <v>2107</v>
      </c>
      <c r="N1265" s="174" t="s">
        <v>67</v>
      </c>
      <c r="O1265" s="113" t="s">
        <v>2809</v>
      </c>
      <c r="P1265" s="174" t="s">
        <v>109</v>
      </c>
      <c r="Q1265" s="113" t="s">
        <v>2288</v>
      </c>
      <c r="R1265" s="174">
        <v>80</v>
      </c>
      <c r="S1265" s="174" t="s">
        <v>2801</v>
      </c>
      <c r="T1265" s="174" t="s">
        <v>2805</v>
      </c>
      <c r="U1265" s="174" t="s">
        <v>2007</v>
      </c>
      <c r="V1265" s="113" t="s">
        <v>1931</v>
      </c>
      <c r="W1265" s="113" t="s">
        <v>1956</v>
      </c>
      <c r="X1265" s="174" t="s">
        <v>2798</v>
      </c>
      <c r="Y1265" s="174">
        <v>2.4E-2</v>
      </c>
      <c r="Z1265" s="174">
        <v>3.3</v>
      </c>
      <c r="AA1265" s="174" t="s">
        <v>1933</v>
      </c>
      <c r="AB1265" s="174" t="s">
        <v>114</v>
      </c>
      <c r="AC1265" s="267" t="str">
        <f>HYPERLINK("https://gcsvt.ru/svetodiodnyie-svetilniki/svt-arm-b-595x595x70-42w-ip54-zr/","Ссылка")</f>
        <v>Ссылка</v>
      </c>
      <c r="AD1265" s="175">
        <v>8721</v>
      </c>
    </row>
    <row r="1266" spans="1:30" s="161" customFormat="1" ht="39.950000000000003" hidden="1" customHeight="1" outlineLevel="1" x14ac:dyDescent="0.25">
      <c r="A1266" s="21"/>
      <c r="B1266" s="21" t="s">
        <v>1929</v>
      </c>
      <c r="C1266" s="159" t="s">
        <v>2782</v>
      </c>
      <c r="D1266" s="161">
        <v>3884</v>
      </c>
      <c r="E1266" s="161">
        <v>28</v>
      </c>
      <c r="F1266" s="167">
        <v>138.71428571428572</v>
      </c>
      <c r="G1266" s="161" t="s">
        <v>2790</v>
      </c>
      <c r="H1266" s="161" t="s">
        <v>138</v>
      </c>
      <c r="I1266" s="161">
        <v>20</v>
      </c>
      <c r="J1266" s="161" t="s">
        <v>105</v>
      </c>
      <c r="K1266" s="21" t="s">
        <v>106</v>
      </c>
      <c r="L1266" s="161" t="s">
        <v>3380</v>
      </c>
      <c r="M1266" s="21" t="s">
        <v>2107</v>
      </c>
      <c r="N1266" s="161" t="s">
        <v>67</v>
      </c>
      <c r="O1266" s="21" t="s">
        <v>2131</v>
      </c>
      <c r="P1266" s="161" t="s">
        <v>109</v>
      </c>
      <c r="Q1266" s="21" t="s">
        <v>2288</v>
      </c>
      <c r="R1266" s="161">
        <v>80</v>
      </c>
      <c r="S1266" s="161" t="s">
        <v>2787</v>
      </c>
      <c r="T1266" s="161" t="s">
        <v>2785</v>
      </c>
      <c r="U1266" s="161" t="s">
        <v>2007</v>
      </c>
      <c r="V1266" s="21" t="s">
        <v>1931</v>
      </c>
      <c r="W1266" s="21" t="s">
        <v>1952</v>
      </c>
      <c r="X1266" s="161" t="s">
        <v>1951</v>
      </c>
      <c r="Y1266" s="161">
        <v>2.3064000000000001E-2</v>
      </c>
      <c r="Z1266" s="161">
        <v>3.19</v>
      </c>
      <c r="AA1266" s="161" t="s">
        <v>1933</v>
      </c>
      <c r="AB1266" s="161" t="s">
        <v>114</v>
      </c>
      <c r="AC1266" s="266" t="str">
        <f>HYPERLINK("https://gcsvt.ru/svetodiodnyie-svetilniki/svt-arm-u-595x595x40-28w-pr/","Ссылка")</f>
        <v>Ссылка</v>
      </c>
      <c r="AD1266" s="167">
        <v>3927</v>
      </c>
    </row>
    <row r="1267" spans="1:30" s="161" customFormat="1" ht="39.950000000000003" hidden="1" customHeight="1" outlineLevel="1" x14ac:dyDescent="0.25">
      <c r="A1267" s="21"/>
      <c r="B1267" s="113" t="s">
        <v>1929</v>
      </c>
      <c r="C1267" s="188" t="s">
        <v>2783</v>
      </c>
      <c r="D1267" s="174">
        <v>5054</v>
      </c>
      <c r="E1267" s="174">
        <v>38</v>
      </c>
      <c r="F1267" s="175">
        <v>133</v>
      </c>
      <c r="G1267" s="174" t="s">
        <v>2791</v>
      </c>
      <c r="H1267" s="174" t="s">
        <v>138</v>
      </c>
      <c r="I1267" s="174">
        <v>20</v>
      </c>
      <c r="J1267" s="174" t="s">
        <v>105</v>
      </c>
      <c r="K1267" s="113" t="s">
        <v>106</v>
      </c>
      <c r="L1267" s="174" t="s">
        <v>3380</v>
      </c>
      <c r="M1267" s="113" t="s">
        <v>2107</v>
      </c>
      <c r="N1267" s="174" t="s">
        <v>67</v>
      </c>
      <c r="O1267" s="113" t="s">
        <v>2131</v>
      </c>
      <c r="P1267" s="174" t="s">
        <v>109</v>
      </c>
      <c r="Q1267" s="113" t="s">
        <v>2288</v>
      </c>
      <c r="R1267" s="174">
        <v>80</v>
      </c>
      <c r="S1267" s="174" t="s">
        <v>2788</v>
      </c>
      <c r="T1267" s="174" t="s">
        <v>2786</v>
      </c>
      <c r="U1267" s="174" t="s">
        <v>2007</v>
      </c>
      <c r="V1267" s="113" t="s">
        <v>1931</v>
      </c>
      <c r="W1267" s="113" t="s">
        <v>1952</v>
      </c>
      <c r="X1267" s="174" t="s">
        <v>1951</v>
      </c>
      <c r="Y1267" s="174">
        <v>2.3064000000000001E-2</v>
      </c>
      <c r="Z1267" s="174">
        <v>3.19</v>
      </c>
      <c r="AA1267" s="174" t="s">
        <v>1933</v>
      </c>
      <c r="AB1267" s="174" t="s">
        <v>114</v>
      </c>
      <c r="AC1267" s="267" t="str">
        <f>HYPERLINK("https://gcsvt.ru/svetodiodnyie-svetilniki/svt-arm-u-595x595x40-38w-pr/","Ссылка")</f>
        <v>Ссылка</v>
      </c>
      <c r="AD1267" s="175">
        <v>4148</v>
      </c>
    </row>
    <row r="1268" spans="1:30" s="161" customFormat="1" ht="39.950000000000003" hidden="1" customHeight="1" outlineLevel="1" x14ac:dyDescent="0.25">
      <c r="A1268" s="21"/>
      <c r="B1268" s="21" t="s">
        <v>1929</v>
      </c>
      <c r="C1268" s="159" t="s">
        <v>2784</v>
      </c>
      <c r="D1268" s="161">
        <v>6318</v>
      </c>
      <c r="E1268" s="161">
        <v>47</v>
      </c>
      <c r="F1268" s="167">
        <v>134.42553191489361</v>
      </c>
      <c r="G1268" s="161" t="s">
        <v>2792</v>
      </c>
      <c r="H1268" s="161" t="s">
        <v>138</v>
      </c>
      <c r="I1268" s="161">
        <v>20</v>
      </c>
      <c r="J1268" s="161" t="s">
        <v>105</v>
      </c>
      <c r="K1268" s="21" t="s">
        <v>106</v>
      </c>
      <c r="L1268" s="161" t="s">
        <v>3380</v>
      </c>
      <c r="M1268" s="21" t="s">
        <v>2107</v>
      </c>
      <c r="N1268" s="161" t="s">
        <v>67</v>
      </c>
      <c r="O1268" s="21" t="s">
        <v>2131</v>
      </c>
      <c r="P1268" s="161" t="s">
        <v>109</v>
      </c>
      <c r="Q1268" s="21" t="s">
        <v>2288</v>
      </c>
      <c r="R1268" s="161">
        <v>80</v>
      </c>
      <c r="S1268" s="161" t="s">
        <v>2789</v>
      </c>
      <c r="T1268" s="161" t="s">
        <v>2786</v>
      </c>
      <c r="U1268" s="161" t="s">
        <v>2007</v>
      </c>
      <c r="V1268" s="21" t="s">
        <v>1931</v>
      </c>
      <c r="W1268" s="21" t="s">
        <v>1952</v>
      </c>
      <c r="X1268" s="161" t="s">
        <v>1951</v>
      </c>
      <c r="Y1268" s="161">
        <v>2.3064000000000001E-2</v>
      </c>
      <c r="Z1268" s="161">
        <v>3.19</v>
      </c>
      <c r="AA1268" s="161" t="s">
        <v>1933</v>
      </c>
      <c r="AB1268" s="161" t="s">
        <v>114</v>
      </c>
      <c r="AC1268" s="266" t="str">
        <f>HYPERLINK("https://gcsvt.ru/svetodiodnyie-svetilniki/svt-arm-u-595x595x40-47w-pr/","Ссылка")</f>
        <v>Ссылка</v>
      </c>
      <c r="AD1268" s="167">
        <v>4556</v>
      </c>
    </row>
    <row r="1269" spans="1:30" s="161" customFormat="1" ht="39.950000000000003" hidden="1" customHeight="1" outlineLevel="1" x14ac:dyDescent="0.25">
      <c r="A1269" s="21"/>
      <c r="B1269" s="113" t="s">
        <v>1953</v>
      </c>
      <c r="C1269" s="188" t="s">
        <v>2944</v>
      </c>
      <c r="D1269" s="174">
        <v>3884</v>
      </c>
      <c r="E1269" s="174">
        <v>28</v>
      </c>
      <c r="F1269" s="175">
        <v>138.71428571428572</v>
      </c>
      <c r="G1269" s="174" t="s">
        <v>2935</v>
      </c>
      <c r="H1269" s="174" t="s">
        <v>138</v>
      </c>
      <c r="I1269" s="174">
        <v>20</v>
      </c>
      <c r="J1269" s="174" t="s">
        <v>105</v>
      </c>
      <c r="K1269" s="113" t="s">
        <v>106</v>
      </c>
      <c r="L1269" s="174" t="s">
        <v>3380</v>
      </c>
      <c r="M1269" s="113" t="s">
        <v>2107</v>
      </c>
      <c r="N1269" s="174" t="s">
        <v>67</v>
      </c>
      <c r="O1269" s="113" t="s">
        <v>2131</v>
      </c>
      <c r="P1269" s="174" t="s">
        <v>109</v>
      </c>
      <c r="Q1269" s="113" t="s">
        <v>2288</v>
      </c>
      <c r="R1269" s="174">
        <v>80</v>
      </c>
      <c r="S1269" s="174" t="s">
        <v>2787</v>
      </c>
      <c r="T1269" s="174" t="s">
        <v>2785</v>
      </c>
      <c r="U1269" s="174" t="s">
        <v>2007</v>
      </c>
      <c r="V1269" s="113" t="s">
        <v>1931</v>
      </c>
      <c r="W1269" s="113" t="s">
        <v>1954</v>
      </c>
      <c r="X1269" s="174" t="s">
        <v>2947</v>
      </c>
      <c r="Y1269" s="174">
        <v>2.3064000000000001E-2</v>
      </c>
      <c r="Z1269" s="174">
        <v>3.19</v>
      </c>
      <c r="AA1269" s="174" t="s">
        <v>1933</v>
      </c>
      <c r="AB1269" s="174" t="s">
        <v>114</v>
      </c>
      <c r="AC1269" s="267" t="str">
        <f>HYPERLINK("https://gcsvt.ru/svetodiodnyie-svetilniki/svt-arm-g-588x588x40-28w-pr/","Ссылка")</f>
        <v>Ссылка</v>
      </c>
      <c r="AD1269" s="175">
        <v>4522</v>
      </c>
    </row>
    <row r="1270" spans="1:30" s="161" customFormat="1" ht="39.950000000000003" hidden="1" customHeight="1" outlineLevel="1" x14ac:dyDescent="0.25">
      <c r="A1270" s="21"/>
      <c r="B1270" s="21" t="s">
        <v>1953</v>
      </c>
      <c r="C1270" s="159" t="s">
        <v>2945</v>
      </c>
      <c r="D1270" s="161">
        <v>5054</v>
      </c>
      <c r="E1270" s="161">
        <v>38</v>
      </c>
      <c r="F1270" s="167">
        <v>133</v>
      </c>
      <c r="G1270" s="161" t="s">
        <v>2936</v>
      </c>
      <c r="H1270" s="161" t="s">
        <v>138</v>
      </c>
      <c r="I1270" s="161">
        <v>20</v>
      </c>
      <c r="J1270" s="161" t="s">
        <v>105</v>
      </c>
      <c r="K1270" s="21" t="s">
        <v>106</v>
      </c>
      <c r="L1270" s="161" t="s">
        <v>3380</v>
      </c>
      <c r="M1270" s="21" t="s">
        <v>2107</v>
      </c>
      <c r="N1270" s="161" t="s">
        <v>67</v>
      </c>
      <c r="O1270" s="21" t="s">
        <v>2131</v>
      </c>
      <c r="P1270" s="161" t="s">
        <v>109</v>
      </c>
      <c r="Q1270" s="21" t="s">
        <v>2288</v>
      </c>
      <c r="R1270" s="161">
        <v>80</v>
      </c>
      <c r="S1270" s="161" t="s">
        <v>2788</v>
      </c>
      <c r="T1270" s="161" t="s">
        <v>2786</v>
      </c>
      <c r="U1270" s="161" t="s">
        <v>2007</v>
      </c>
      <c r="V1270" s="21" t="s">
        <v>1931</v>
      </c>
      <c r="W1270" s="21" t="s">
        <v>1954</v>
      </c>
      <c r="X1270" s="161" t="s">
        <v>2947</v>
      </c>
      <c r="Y1270" s="161">
        <v>2.3064000000000001E-2</v>
      </c>
      <c r="Z1270" s="161">
        <v>3.19</v>
      </c>
      <c r="AA1270" s="161" t="s">
        <v>1933</v>
      </c>
      <c r="AB1270" s="161" t="s">
        <v>114</v>
      </c>
      <c r="AC1270" s="266" t="str">
        <f>HYPERLINK("https://gcsvt.ru/svetodiodnyie-svetilniki/svt-arm-g-588x588x40-38w-pr/","Ссылка")</f>
        <v>Ссылка</v>
      </c>
      <c r="AD1270" s="167">
        <v>4735</v>
      </c>
    </row>
    <row r="1271" spans="1:30" s="161" customFormat="1" ht="39.950000000000003" hidden="1" customHeight="1" outlineLevel="1" x14ac:dyDescent="0.25">
      <c r="A1271" s="21"/>
      <c r="B1271" s="113" t="s">
        <v>1953</v>
      </c>
      <c r="C1271" s="188" t="s">
        <v>2946</v>
      </c>
      <c r="D1271" s="174">
        <v>6318</v>
      </c>
      <c r="E1271" s="174">
        <v>47</v>
      </c>
      <c r="F1271" s="175">
        <v>134.42553191489361</v>
      </c>
      <c r="G1271" s="174" t="s">
        <v>2937</v>
      </c>
      <c r="H1271" s="174" t="s">
        <v>138</v>
      </c>
      <c r="I1271" s="174">
        <v>20</v>
      </c>
      <c r="J1271" s="174" t="s">
        <v>105</v>
      </c>
      <c r="K1271" s="113" t="s">
        <v>106</v>
      </c>
      <c r="L1271" s="174" t="s">
        <v>3380</v>
      </c>
      <c r="M1271" s="113" t="s">
        <v>2107</v>
      </c>
      <c r="N1271" s="174" t="s">
        <v>67</v>
      </c>
      <c r="O1271" s="113" t="s">
        <v>2131</v>
      </c>
      <c r="P1271" s="174" t="s">
        <v>109</v>
      </c>
      <c r="Q1271" s="113" t="s">
        <v>2288</v>
      </c>
      <c r="R1271" s="174">
        <v>80</v>
      </c>
      <c r="S1271" s="174" t="s">
        <v>2789</v>
      </c>
      <c r="T1271" s="174" t="s">
        <v>2786</v>
      </c>
      <c r="U1271" s="174" t="s">
        <v>2007</v>
      </c>
      <c r="V1271" s="113" t="s">
        <v>1931</v>
      </c>
      <c r="W1271" s="113" t="s">
        <v>1954</v>
      </c>
      <c r="X1271" s="174" t="s">
        <v>2947</v>
      </c>
      <c r="Y1271" s="174">
        <v>2.3064000000000001E-2</v>
      </c>
      <c r="Z1271" s="174">
        <v>3.19</v>
      </c>
      <c r="AA1271" s="174" t="s">
        <v>1933</v>
      </c>
      <c r="AB1271" s="174" t="s">
        <v>114</v>
      </c>
      <c r="AC1271" s="267" t="str">
        <f>HYPERLINK("https://gcsvt.ru/svetodiodnyie-svetilniki/svt-arm-g-588x588x40-47w-pr/","Ссылка")</f>
        <v>Ссылка</v>
      </c>
      <c r="AD1271" s="175">
        <v>5143</v>
      </c>
    </row>
    <row r="1272" spans="1:30" s="161" customFormat="1" ht="39.950000000000003" hidden="1" customHeight="1" outlineLevel="1" x14ac:dyDescent="0.25">
      <c r="A1272" s="21"/>
      <c r="B1272" s="21" t="s">
        <v>1955</v>
      </c>
      <c r="C1272" s="159" t="s">
        <v>2873</v>
      </c>
      <c r="D1272" s="161">
        <v>3884</v>
      </c>
      <c r="E1272" s="161">
        <v>28</v>
      </c>
      <c r="F1272" s="167">
        <v>138.71428571428572</v>
      </c>
      <c r="G1272" s="161" t="s">
        <v>2938</v>
      </c>
      <c r="H1272" s="161" t="s">
        <v>138</v>
      </c>
      <c r="I1272" s="161">
        <v>54</v>
      </c>
      <c r="J1272" s="161" t="s">
        <v>105</v>
      </c>
      <c r="K1272" s="21" t="s">
        <v>106</v>
      </c>
      <c r="L1272" s="161" t="s">
        <v>3380</v>
      </c>
      <c r="M1272" s="21" t="s">
        <v>2107</v>
      </c>
      <c r="N1272" s="161" t="s">
        <v>67</v>
      </c>
      <c r="O1272" s="21" t="s">
        <v>2131</v>
      </c>
      <c r="P1272" s="161" t="s">
        <v>109</v>
      </c>
      <c r="Q1272" s="21" t="s">
        <v>2288</v>
      </c>
      <c r="R1272" s="161">
        <v>80</v>
      </c>
      <c r="S1272" s="161" t="s">
        <v>2787</v>
      </c>
      <c r="T1272" s="161" t="s">
        <v>2785</v>
      </c>
      <c r="U1272" s="161" t="s">
        <v>2007</v>
      </c>
      <c r="V1272" s="21" t="s">
        <v>1931</v>
      </c>
      <c r="W1272" s="21" t="s">
        <v>1713</v>
      </c>
      <c r="X1272" s="161" t="s">
        <v>1951</v>
      </c>
      <c r="Y1272" s="161">
        <v>2.3064000000000001E-2</v>
      </c>
      <c r="Z1272" s="161">
        <v>3.19</v>
      </c>
      <c r="AA1272" s="161" t="s">
        <v>1933</v>
      </c>
      <c r="AB1272" s="161" t="s">
        <v>114</v>
      </c>
      <c r="AC1272" s="266" t="str">
        <f>HYPERLINK("https://gcsvt.ru/svetodiodnyie-svetilniki/svt-arm-n-595x595x40-28w-pr-ip54/","Ссылка")</f>
        <v>Ссылка</v>
      </c>
      <c r="AD1272" s="167">
        <v>5253</v>
      </c>
    </row>
    <row r="1273" spans="1:30" s="161" customFormat="1" ht="39.950000000000003" hidden="1" customHeight="1" outlineLevel="1" x14ac:dyDescent="0.25">
      <c r="A1273" s="21"/>
      <c r="B1273" s="113" t="s">
        <v>1955</v>
      </c>
      <c r="C1273" s="188" t="s">
        <v>2872</v>
      </c>
      <c r="D1273" s="174">
        <v>5054</v>
      </c>
      <c r="E1273" s="174">
        <v>38</v>
      </c>
      <c r="F1273" s="175">
        <v>133</v>
      </c>
      <c r="G1273" s="174" t="s">
        <v>2939</v>
      </c>
      <c r="H1273" s="174" t="s">
        <v>138</v>
      </c>
      <c r="I1273" s="174">
        <v>54</v>
      </c>
      <c r="J1273" s="174" t="s">
        <v>105</v>
      </c>
      <c r="K1273" s="113" t="s">
        <v>106</v>
      </c>
      <c r="L1273" s="174" t="s">
        <v>3380</v>
      </c>
      <c r="M1273" s="113" t="s">
        <v>2107</v>
      </c>
      <c r="N1273" s="174" t="s">
        <v>67</v>
      </c>
      <c r="O1273" s="113" t="s">
        <v>2131</v>
      </c>
      <c r="P1273" s="174" t="s">
        <v>109</v>
      </c>
      <c r="Q1273" s="113" t="s">
        <v>2288</v>
      </c>
      <c r="R1273" s="174">
        <v>80</v>
      </c>
      <c r="S1273" s="174" t="s">
        <v>2788</v>
      </c>
      <c r="T1273" s="174" t="s">
        <v>2786</v>
      </c>
      <c r="U1273" s="174" t="s">
        <v>2007</v>
      </c>
      <c r="V1273" s="113" t="s">
        <v>1931</v>
      </c>
      <c r="W1273" s="113" t="s">
        <v>1713</v>
      </c>
      <c r="X1273" s="174" t="s">
        <v>1951</v>
      </c>
      <c r="Y1273" s="174">
        <v>2.3064000000000001E-2</v>
      </c>
      <c r="Z1273" s="174">
        <v>3.19</v>
      </c>
      <c r="AA1273" s="174" t="s">
        <v>1933</v>
      </c>
      <c r="AB1273" s="174" t="s">
        <v>114</v>
      </c>
      <c r="AC1273" s="267" t="str">
        <f>HYPERLINK("https://gcsvt.ru/svetodiodnyie-svetilniki/svt-arm-n-595x595x40-38w-pr-ip54/","Ссылка")</f>
        <v>Ссылка</v>
      </c>
      <c r="AD1273" s="175">
        <v>5474</v>
      </c>
    </row>
    <row r="1274" spans="1:30" s="161" customFormat="1" ht="39.950000000000003" hidden="1" customHeight="1" outlineLevel="1" x14ac:dyDescent="0.25">
      <c r="A1274" s="21"/>
      <c r="B1274" s="21" t="s">
        <v>1955</v>
      </c>
      <c r="C1274" s="159" t="s">
        <v>2876</v>
      </c>
      <c r="D1274" s="161">
        <v>6318</v>
      </c>
      <c r="E1274" s="161">
        <v>47</v>
      </c>
      <c r="F1274" s="167">
        <v>134.42553191489361</v>
      </c>
      <c r="G1274" s="161" t="s">
        <v>2940</v>
      </c>
      <c r="H1274" s="161" t="s">
        <v>138</v>
      </c>
      <c r="I1274" s="161">
        <v>54</v>
      </c>
      <c r="J1274" s="161" t="s">
        <v>105</v>
      </c>
      <c r="K1274" s="21" t="s">
        <v>106</v>
      </c>
      <c r="L1274" s="161" t="s">
        <v>3380</v>
      </c>
      <c r="M1274" s="21" t="s">
        <v>2107</v>
      </c>
      <c r="N1274" s="161" t="s">
        <v>67</v>
      </c>
      <c r="O1274" s="21" t="s">
        <v>2131</v>
      </c>
      <c r="P1274" s="161" t="s">
        <v>109</v>
      </c>
      <c r="Q1274" s="21" t="s">
        <v>2288</v>
      </c>
      <c r="R1274" s="161">
        <v>80</v>
      </c>
      <c r="S1274" s="161" t="s">
        <v>2789</v>
      </c>
      <c r="T1274" s="161" t="s">
        <v>2786</v>
      </c>
      <c r="U1274" s="161" t="s">
        <v>2007</v>
      </c>
      <c r="V1274" s="21" t="s">
        <v>1931</v>
      </c>
      <c r="W1274" s="21" t="s">
        <v>1713</v>
      </c>
      <c r="X1274" s="161" t="s">
        <v>1951</v>
      </c>
      <c r="Y1274" s="161">
        <v>2.3064000000000001E-2</v>
      </c>
      <c r="Z1274" s="161">
        <v>3.19</v>
      </c>
      <c r="AA1274" s="161" t="s">
        <v>1933</v>
      </c>
      <c r="AB1274" s="161" t="s">
        <v>114</v>
      </c>
      <c r="AC1274" s="266" t="str">
        <f>HYPERLINK("https://gcsvt.ru/svetodiodnyie-svetilniki/svt-arm-n-595x595x40-47w-pr-ip54/","Ссылка")</f>
        <v>Ссылка</v>
      </c>
      <c r="AD1274" s="167">
        <v>5865</v>
      </c>
    </row>
    <row r="1275" spans="1:30" s="161" customFormat="1" ht="39.950000000000003" hidden="1" customHeight="1" outlineLevel="1" x14ac:dyDescent="0.25">
      <c r="A1275" s="21"/>
      <c r="B1275" s="113" t="s">
        <v>1955</v>
      </c>
      <c r="C1275" s="188" t="s">
        <v>2874</v>
      </c>
      <c r="D1275" s="174">
        <v>3884</v>
      </c>
      <c r="E1275" s="174">
        <v>28</v>
      </c>
      <c r="F1275" s="175">
        <v>138.71428571428572</v>
      </c>
      <c r="G1275" s="174" t="s">
        <v>2941</v>
      </c>
      <c r="H1275" s="174" t="s">
        <v>138</v>
      </c>
      <c r="I1275" s="174">
        <v>54</v>
      </c>
      <c r="J1275" s="174" t="s">
        <v>105</v>
      </c>
      <c r="K1275" s="113" t="s">
        <v>106</v>
      </c>
      <c r="L1275" s="174" t="s">
        <v>3380</v>
      </c>
      <c r="M1275" s="113" t="s">
        <v>2107</v>
      </c>
      <c r="N1275" s="174" t="s">
        <v>67</v>
      </c>
      <c r="O1275" s="113" t="s">
        <v>2131</v>
      </c>
      <c r="P1275" s="174" t="s">
        <v>109</v>
      </c>
      <c r="Q1275" s="113" t="s">
        <v>2288</v>
      </c>
      <c r="R1275" s="174">
        <v>80</v>
      </c>
      <c r="S1275" s="174" t="s">
        <v>2787</v>
      </c>
      <c r="T1275" s="174" t="s">
        <v>2785</v>
      </c>
      <c r="U1275" s="174" t="s">
        <v>2007</v>
      </c>
      <c r="V1275" s="113" t="s">
        <v>1931</v>
      </c>
      <c r="W1275" s="113" t="s">
        <v>1956</v>
      </c>
      <c r="X1275" s="174" t="s">
        <v>1951</v>
      </c>
      <c r="Y1275" s="174">
        <v>2.3064000000000001E-2</v>
      </c>
      <c r="Z1275" s="174">
        <v>3.19</v>
      </c>
      <c r="AA1275" s="174" t="s">
        <v>1933</v>
      </c>
      <c r="AB1275" s="174" t="s">
        <v>114</v>
      </c>
      <c r="AC1275" s="267" t="str">
        <f>HYPERLINK("https://gcsvt.ru/svetodiodnyie-svetilniki/svt-arm-b-595x595x40-28w-pr-ip54/","Ссылка")</f>
        <v>Ссылка</v>
      </c>
      <c r="AD1275" s="175">
        <v>5032</v>
      </c>
    </row>
    <row r="1276" spans="1:30" s="161" customFormat="1" ht="39.950000000000003" hidden="1" customHeight="1" outlineLevel="1" x14ac:dyDescent="0.25">
      <c r="A1276" s="21"/>
      <c r="B1276" s="21" t="s">
        <v>1955</v>
      </c>
      <c r="C1276" s="159" t="s">
        <v>2875</v>
      </c>
      <c r="D1276" s="161">
        <v>5054</v>
      </c>
      <c r="E1276" s="161">
        <v>38</v>
      </c>
      <c r="F1276" s="167">
        <v>133</v>
      </c>
      <c r="G1276" s="161" t="s">
        <v>2942</v>
      </c>
      <c r="H1276" s="161" t="s">
        <v>138</v>
      </c>
      <c r="I1276" s="161">
        <v>54</v>
      </c>
      <c r="J1276" s="161" t="s">
        <v>105</v>
      </c>
      <c r="K1276" s="21" t="s">
        <v>106</v>
      </c>
      <c r="L1276" s="161" t="s">
        <v>3380</v>
      </c>
      <c r="M1276" s="21" t="s">
        <v>2107</v>
      </c>
      <c r="N1276" s="161" t="s">
        <v>67</v>
      </c>
      <c r="O1276" s="21" t="s">
        <v>2131</v>
      </c>
      <c r="P1276" s="161" t="s">
        <v>109</v>
      </c>
      <c r="Q1276" s="21" t="s">
        <v>2288</v>
      </c>
      <c r="R1276" s="161">
        <v>80</v>
      </c>
      <c r="S1276" s="161" t="s">
        <v>2788</v>
      </c>
      <c r="T1276" s="161" t="s">
        <v>2786</v>
      </c>
      <c r="U1276" s="161" t="s">
        <v>2007</v>
      </c>
      <c r="V1276" s="21" t="s">
        <v>1931</v>
      </c>
      <c r="W1276" s="21" t="s">
        <v>1956</v>
      </c>
      <c r="X1276" s="161" t="s">
        <v>1951</v>
      </c>
      <c r="Y1276" s="161">
        <v>2.3064000000000001E-2</v>
      </c>
      <c r="Z1276" s="161">
        <v>3.19</v>
      </c>
      <c r="AA1276" s="161" t="s">
        <v>1933</v>
      </c>
      <c r="AB1276" s="161" t="s">
        <v>114</v>
      </c>
      <c r="AC1276" s="266" t="str">
        <f>HYPERLINK("https://gcsvt.ru/svetodiodnyie-svetilniki/svt-arm-b-595x595x40-38w-pr-ip54/","Ссылка")</f>
        <v>Ссылка</v>
      </c>
      <c r="AD1276" s="167">
        <v>5245</v>
      </c>
    </row>
    <row r="1277" spans="1:30" s="161" customFormat="1" ht="39.950000000000003" hidden="1" customHeight="1" outlineLevel="1" x14ac:dyDescent="0.25">
      <c r="A1277" s="21"/>
      <c r="B1277" s="113" t="s">
        <v>1955</v>
      </c>
      <c r="C1277" s="188" t="s">
        <v>2877</v>
      </c>
      <c r="D1277" s="174">
        <v>6318</v>
      </c>
      <c r="E1277" s="174">
        <v>47</v>
      </c>
      <c r="F1277" s="175">
        <v>134.42553191489361</v>
      </c>
      <c r="G1277" s="174" t="s">
        <v>2943</v>
      </c>
      <c r="H1277" s="174" t="s">
        <v>138</v>
      </c>
      <c r="I1277" s="174">
        <v>54</v>
      </c>
      <c r="J1277" s="174" t="s">
        <v>105</v>
      </c>
      <c r="K1277" s="113" t="s">
        <v>106</v>
      </c>
      <c r="L1277" s="174" t="s">
        <v>3380</v>
      </c>
      <c r="M1277" s="113" t="s">
        <v>2107</v>
      </c>
      <c r="N1277" s="174" t="s">
        <v>67</v>
      </c>
      <c r="O1277" s="113" t="s">
        <v>2131</v>
      </c>
      <c r="P1277" s="174" t="s">
        <v>109</v>
      </c>
      <c r="Q1277" s="113" t="s">
        <v>2288</v>
      </c>
      <c r="R1277" s="174">
        <v>80</v>
      </c>
      <c r="S1277" s="174" t="s">
        <v>2789</v>
      </c>
      <c r="T1277" s="174" t="s">
        <v>2786</v>
      </c>
      <c r="U1277" s="174" t="s">
        <v>2007</v>
      </c>
      <c r="V1277" s="113" t="s">
        <v>1931</v>
      </c>
      <c r="W1277" s="113" t="s">
        <v>1956</v>
      </c>
      <c r="X1277" s="174" t="s">
        <v>1951</v>
      </c>
      <c r="Y1277" s="174">
        <v>2.3064000000000001E-2</v>
      </c>
      <c r="Z1277" s="174">
        <v>3.19</v>
      </c>
      <c r="AA1277" s="174" t="s">
        <v>1933</v>
      </c>
      <c r="AB1277" s="174" t="s">
        <v>114</v>
      </c>
      <c r="AC1277" s="267" t="str">
        <f>HYPERLINK("https://gcsvt.ru/svetodiodnyie-svetilniki/svt-arm-b-595x595x40-47w-pr-ip54/","Ссылка")</f>
        <v>Ссылка</v>
      </c>
      <c r="AD1277" s="175">
        <v>5636</v>
      </c>
    </row>
    <row r="1278" spans="1:30" s="161" customFormat="1" ht="39.950000000000003" hidden="1" customHeight="1" outlineLevel="1" x14ac:dyDescent="0.25">
      <c r="A1278" s="21"/>
      <c r="B1278" s="21" t="s">
        <v>2104</v>
      </c>
      <c r="C1278" s="159" t="s">
        <v>2105</v>
      </c>
      <c r="D1278" s="238">
        <v>3884</v>
      </c>
      <c r="E1278" s="238">
        <v>28</v>
      </c>
      <c r="F1278" s="238">
        <v>139</v>
      </c>
      <c r="G1278" s="161" t="s">
        <v>2106</v>
      </c>
      <c r="H1278" s="161" t="s">
        <v>138</v>
      </c>
      <c r="I1278" s="161">
        <v>54</v>
      </c>
      <c r="J1278" s="161" t="s">
        <v>105</v>
      </c>
      <c r="K1278" s="21" t="s">
        <v>106</v>
      </c>
      <c r="L1278" s="161" t="s">
        <v>1618</v>
      </c>
      <c r="M1278" s="21" t="s">
        <v>2107</v>
      </c>
      <c r="N1278" s="161" t="s">
        <v>67</v>
      </c>
      <c r="O1278" s="21" t="s">
        <v>1630</v>
      </c>
      <c r="P1278" s="161" t="s">
        <v>109</v>
      </c>
      <c r="Q1278" s="21" t="s">
        <v>1750</v>
      </c>
      <c r="R1278" s="161">
        <v>80</v>
      </c>
      <c r="S1278" s="161" t="s">
        <v>2108</v>
      </c>
      <c r="T1278" s="161" t="s">
        <v>141</v>
      </c>
      <c r="U1278" s="161" t="s">
        <v>2007</v>
      </c>
      <c r="V1278" s="21" t="s">
        <v>1943</v>
      </c>
      <c r="W1278" s="21" t="s">
        <v>2109</v>
      </c>
      <c r="X1278" s="161" t="s">
        <v>2110</v>
      </c>
      <c r="Y1278" s="161">
        <v>0.01</v>
      </c>
      <c r="Z1278" s="161">
        <v>3.3</v>
      </c>
      <c r="AA1278" s="161" t="s">
        <v>2011</v>
      </c>
      <c r="AB1278" s="161" t="s">
        <v>114</v>
      </c>
      <c r="AC1278" s="266" t="str">
        <f>HYPERLINK("https://gcsvt.ru/svetodiodnyie-svetilniki/svt-arm-clip-in-27w-ip54-m-4000k/","Ссылка")</f>
        <v>Ссылка</v>
      </c>
      <c r="AD1278" s="167">
        <v>6052</v>
      </c>
    </row>
    <row r="1279" spans="1:30" s="161" customFormat="1" ht="39.950000000000003" hidden="1" customHeight="1" outlineLevel="1" x14ac:dyDescent="0.25">
      <c r="A1279" s="21"/>
      <c r="B1279" s="21" t="s">
        <v>2104</v>
      </c>
      <c r="C1279" s="159" t="s">
        <v>2113</v>
      </c>
      <c r="D1279" s="238">
        <v>5054</v>
      </c>
      <c r="E1279" s="238">
        <v>38</v>
      </c>
      <c r="F1279" s="238">
        <v>133</v>
      </c>
      <c r="G1279" s="161" t="s">
        <v>2114</v>
      </c>
      <c r="H1279" s="161" t="s">
        <v>138</v>
      </c>
      <c r="I1279" s="161">
        <v>54</v>
      </c>
      <c r="J1279" s="161" t="s">
        <v>105</v>
      </c>
      <c r="K1279" s="21" t="s">
        <v>106</v>
      </c>
      <c r="L1279" s="161" t="s">
        <v>1618</v>
      </c>
      <c r="M1279" s="21" t="s">
        <v>2107</v>
      </c>
      <c r="N1279" s="161" t="s">
        <v>67</v>
      </c>
      <c r="O1279" s="21" t="s">
        <v>1630</v>
      </c>
      <c r="P1279" s="161" t="s">
        <v>109</v>
      </c>
      <c r="Q1279" s="21" t="s">
        <v>1750</v>
      </c>
      <c r="R1279" s="161">
        <v>80</v>
      </c>
      <c r="S1279" s="161" t="s">
        <v>2115</v>
      </c>
      <c r="T1279" s="161" t="s">
        <v>141</v>
      </c>
      <c r="U1279" s="161" t="s">
        <v>2007</v>
      </c>
      <c r="V1279" s="21" t="s">
        <v>1943</v>
      </c>
      <c r="W1279" s="21" t="s">
        <v>2109</v>
      </c>
      <c r="X1279" s="161" t="s">
        <v>2110</v>
      </c>
      <c r="Y1279" s="161">
        <v>0.01</v>
      </c>
      <c r="Z1279" s="161">
        <v>3.3</v>
      </c>
      <c r="AA1279" s="161" t="s">
        <v>2011</v>
      </c>
      <c r="AB1279" s="161" t="s">
        <v>114</v>
      </c>
      <c r="AC1279" s="266" t="str">
        <f>HYPERLINK("https://gcsvt.ru/svetodiodnyie-svetilniki/svt-arm-clip-in-38w-ip54-m-4000k/","Ссылка")</f>
        <v>Ссылка</v>
      </c>
      <c r="AD1279" s="167">
        <v>6265</v>
      </c>
    </row>
    <row r="1280" spans="1:30" s="161" customFormat="1" ht="39.950000000000003" hidden="1" customHeight="1" outlineLevel="1" x14ac:dyDescent="0.25">
      <c r="A1280" s="21"/>
      <c r="B1280" s="21" t="s">
        <v>2104</v>
      </c>
      <c r="C1280" s="159" t="s">
        <v>4320</v>
      </c>
      <c r="D1280" s="238">
        <v>6318</v>
      </c>
      <c r="E1280" s="238">
        <v>47</v>
      </c>
      <c r="F1280" s="238">
        <v>134</v>
      </c>
      <c r="G1280" s="161" t="s">
        <v>2117</v>
      </c>
      <c r="H1280" s="161" t="s">
        <v>138</v>
      </c>
      <c r="I1280" s="161">
        <v>54</v>
      </c>
      <c r="J1280" s="161" t="s">
        <v>105</v>
      </c>
      <c r="K1280" s="21" t="s">
        <v>106</v>
      </c>
      <c r="L1280" s="161" t="s">
        <v>1618</v>
      </c>
      <c r="M1280" s="21" t="s">
        <v>2107</v>
      </c>
      <c r="N1280" s="161" t="s">
        <v>67</v>
      </c>
      <c r="O1280" s="21" t="s">
        <v>1630</v>
      </c>
      <c r="P1280" s="161" t="s">
        <v>109</v>
      </c>
      <c r="Q1280" s="21" t="s">
        <v>1750</v>
      </c>
      <c r="R1280" s="161">
        <v>80</v>
      </c>
      <c r="S1280" s="161" t="s">
        <v>2118</v>
      </c>
      <c r="T1280" s="161" t="s">
        <v>141</v>
      </c>
      <c r="U1280" s="161" t="s">
        <v>2007</v>
      </c>
      <c r="V1280" s="21" t="s">
        <v>1943</v>
      </c>
      <c r="W1280" s="21" t="s">
        <v>2109</v>
      </c>
      <c r="X1280" s="161" t="s">
        <v>2110</v>
      </c>
      <c r="Y1280" s="161">
        <v>0.01</v>
      </c>
      <c r="Z1280" s="161">
        <v>3.3</v>
      </c>
      <c r="AA1280" s="161" t="s">
        <v>2011</v>
      </c>
      <c r="AB1280" s="161" t="s">
        <v>114</v>
      </c>
      <c r="AC1280" s="266" t="str">
        <f>HYPERLINK("https://gcsvt.ru/svetodiodnyie-svetilniki/svt-arm-clip-in-43w-ip54-m-4000k/","Ссылка")</f>
        <v>Ссылка</v>
      </c>
      <c r="AD1280" s="167">
        <v>6673</v>
      </c>
    </row>
    <row r="1281" spans="1:30" s="161" customFormat="1" ht="39.950000000000003" hidden="1" customHeight="1" outlineLevel="1" x14ac:dyDescent="0.25">
      <c r="A1281" s="21"/>
      <c r="B1281" s="196" t="s">
        <v>1999</v>
      </c>
      <c r="C1281" s="212"/>
      <c r="K1281" s="21"/>
      <c r="M1281" s="21"/>
      <c r="O1281" s="21"/>
      <c r="Q1281" s="21"/>
      <c r="V1281" s="21"/>
      <c r="W1281" s="21"/>
      <c r="AC1281" s="228"/>
      <c r="AD1281" s="167"/>
    </row>
    <row r="1282" spans="1:30" s="161" customFormat="1" ht="39.950000000000003" hidden="1" customHeight="1" outlineLevel="1" x14ac:dyDescent="0.25">
      <c r="A1282" s="21"/>
      <c r="B1282" s="21" t="s">
        <v>2000</v>
      </c>
      <c r="C1282" s="159" t="s">
        <v>3865</v>
      </c>
      <c r="D1282" s="161">
        <v>3800</v>
      </c>
      <c r="E1282" s="161">
        <v>34</v>
      </c>
      <c r="F1282" s="161">
        <v>111</v>
      </c>
      <c r="G1282" s="161" t="s">
        <v>3870</v>
      </c>
      <c r="H1282" s="161" t="s">
        <v>138</v>
      </c>
      <c r="I1282" s="161">
        <v>40</v>
      </c>
      <c r="J1282" s="161" t="s">
        <v>389</v>
      </c>
      <c r="K1282" s="21" t="s">
        <v>106</v>
      </c>
      <c r="L1282" s="161" t="s">
        <v>1618</v>
      </c>
      <c r="M1282" s="21" t="s">
        <v>1619</v>
      </c>
      <c r="N1282" s="161" t="s">
        <v>67</v>
      </c>
      <c r="O1282" s="21" t="s">
        <v>3869</v>
      </c>
      <c r="P1282" s="161" t="s">
        <v>109</v>
      </c>
      <c r="Q1282" s="21" t="s">
        <v>70</v>
      </c>
      <c r="R1282" s="161">
        <v>80</v>
      </c>
      <c r="U1282" s="161" t="s">
        <v>3864</v>
      </c>
      <c r="V1282" s="21" t="s">
        <v>2001</v>
      </c>
      <c r="W1282" s="21" t="s">
        <v>1623</v>
      </c>
      <c r="X1282" s="161" t="s">
        <v>3868</v>
      </c>
      <c r="Y1282" s="161">
        <v>1.4760000000000001E-2</v>
      </c>
      <c r="Z1282" s="161">
        <v>1.2</v>
      </c>
      <c r="AA1282" s="161" t="s">
        <v>3863</v>
      </c>
      <c r="AB1282" s="161" t="s">
        <v>114</v>
      </c>
      <c r="AC1282" s="266" t="str">
        <f>HYPERLINK("https://gcsvt.ru/svetodiodnyie-svetilniki/svt-arm-panel-rz-595x595x18-34w-ip40-m/","Ссылка")</f>
        <v>Ссылка</v>
      </c>
      <c r="AD1282" s="167">
        <v>8305</v>
      </c>
    </row>
    <row r="1283" spans="1:30" s="161" customFormat="1" ht="39.950000000000003" hidden="1" customHeight="1" outlineLevel="1" x14ac:dyDescent="0.25">
      <c r="A1283" s="21"/>
      <c r="B1283" s="21" t="s">
        <v>2000</v>
      </c>
      <c r="C1283" s="159" t="s">
        <v>3866</v>
      </c>
      <c r="D1283" s="161">
        <v>4000</v>
      </c>
      <c r="E1283" s="161">
        <v>36</v>
      </c>
      <c r="F1283" s="161">
        <v>111</v>
      </c>
      <c r="G1283" s="161" t="s">
        <v>3871</v>
      </c>
      <c r="H1283" s="161" t="s">
        <v>138</v>
      </c>
      <c r="I1283" s="161">
        <v>40</v>
      </c>
      <c r="J1283" s="161" t="s">
        <v>389</v>
      </c>
      <c r="K1283" s="21" t="s">
        <v>106</v>
      </c>
      <c r="L1283" s="161" t="s">
        <v>1618</v>
      </c>
      <c r="M1283" s="21" t="s">
        <v>1619</v>
      </c>
      <c r="N1283" s="161" t="s">
        <v>67</v>
      </c>
      <c r="O1283" s="21" t="s">
        <v>3869</v>
      </c>
      <c r="P1283" s="161" t="s">
        <v>109</v>
      </c>
      <c r="Q1283" s="21" t="s">
        <v>70</v>
      </c>
      <c r="R1283" s="161">
        <v>80</v>
      </c>
      <c r="U1283" s="161" t="s">
        <v>3864</v>
      </c>
      <c r="V1283" s="21" t="s">
        <v>2001</v>
      </c>
      <c r="W1283" s="21" t="s">
        <v>1623</v>
      </c>
      <c r="X1283" s="161" t="s">
        <v>3867</v>
      </c>
      <c r="Y1283" s="161">
        <v>1.4760000000000001E-2</v>
      </c>
      <c r="Z1283" s="161">
        <v>1.2</v>
      </c>
      <c r="AA1283" s="161" t="s">
        <v>3863</v>
      </c>
      <c r="AB1283" s="161" t="s">
        <v>114</v>
      </c>
      <c r="AC1283" s="266" t="str">
        <f>HYPERLINK("https://gcsvt.ru/svetodiodnyie-svetilniki/svt-arm-panel-rz-1195x295x18-36w-ip40-m/","Ссылка")</f>
        <v>Ссылка</v>
      </c>
      <c r="AD1283" s="167">
        <v>8305</v>
      </c>
    </row>
    <row r="1284" spans="1:30" s="161" customFormat="1" ht="39.950000000000003" customHeight="1" collapsed="1" x14ac:dyDescent="0.25">
      <c r="A1284" s="165"/>
      <c r="B1284" s="195" t="s">
        <v>4463</v>
      </c>
      <c r="C1284" s="202"/>
      <c r="D1284" s="163"/>
      <c r="E1284" s="163"/>
      <c r="F1284" s="163"/>
      <c r="G1284" s="163"/>
      <c r="H1284" s="163"/>
      <c r="I1284" s="163"/>
      <c r="J1284" s="163"/>
      <c r="K1284" s="75"/>
      <c r="L1284" s="163"/>
      <c r="M1284" s="75"/>
      <c r="N1284" s="163"/>
      <c r="O1284" s="75"/>
      <c r="P1284" s="163"/>
      <c r="Q1284" s="75"/>
      <c r="R1284" s="163"/>
      <c r="S1284" s="163"/>
      <c r="T1284" s="163"/>
      <c r="U1284" s="163"/>
      <c r="V1284" s="75"/>
      <c r="W1284" s="75"/>
      <c r="X1284" s="163"/>
      <c r="Y1284" s="163"/>
      <c r="Z1284" s="163"/>
      <c r="AA1284" s="163"/>
      <c r="AB1284" s="163"/>
      <c r="AC1284" s="227"/>
      <c r="AD1284" s="164"/>
    </row>
    <row r="1285" spans="1:30" s="161" customFormat="1" ht="39.950000000000003" hidden="1" customHeight="1" outlineLevel="1" x14ac:dyDescent="0.25">
      <c r="A1285" s="21"/>
      <c r="B1285" s="21" t="s">
        <v>1957</v>
      </c>
      <c r="C1285" s="159" t="s">
        <v>1958</v>
      </c>
      <c r="D1285" s="161">
        <v>3420</v>
      </c>
      <c r="E1285" s="161">
        <v>36</v>
      </c>
      <c r="F1285" s="161">
        <v>95</v>
      </c>
      <c r="G1285" s="161" t="s">
        <v>1959</v>
      </c>
      <c r="H1285" s="161" t="s">
        <v>138</v>
      </c>
      <c r="I1285" s="161">
        <v>20</v>
      </c>
      <c r="J1285" s="161" t="s">
        <v>389</v>
      </c>
      <c r="K1285" s="21" t="s">
        <v>106</v>
      </c>
      <c r="L1285" s="161" t="s">
        <v>3380</v>
      </c>
      <c r="M1285" s="21" t="s">
        <v>568</v>
      </c>
      <c r="N1285" s="161" t="s">
        <v>67</v>
      </c>
      <c r="O1285" s="21" t="s">
        <v>1630</v>
      </c>
      <c r="P1285" s="161" t="s">
        <v>109</v>
      </c>
      <c r="Q1285" s="21" t="s">
        <v>70</v>
      </c>
      <c r="R1285" s="161">
        <v>80</v>
      </c>
      <c r="S1285" s="161" t="s">
        <v>1564</v>
      </c>
      <c r="T1285" s="161" t="s">
        <v>1960</v>
      </c>
      <c r="U1285" s="161" t="s">
        <v>73</v>
      </c>
      <c r="V1285" s="21" t="s">
        <v>74</v>
      </c>
      <c r="W1285" s="21" t="s">
        <v>1961</v>
      </c>
      <c r="X1285" s="161" t="s">
        <v>1962</v>
      </c>
      <c r="Y1285" s="161">
        <v>1.3520000000000001E-2</v>
      </c>
      <c r="Z1285" s="161">
        <v>1.8</v>
      </c>
      <c r="AA1285" s="161" t="s">
        <v>1933</v>
      </c>
      <c r="AB1285" s="161" t="s">
        <v>114</v>
      </c>
      <c r="AC1285" s="266" t="str">
        <f>HYPERLINK("https://gcsvt.ru/svetodiodnyie-svetilniki/svt-off-inray-900-36w-m-rb/","Ссылка")</f>
        <v>Ссылка</v>
      </c>
      <c r="AD1285" s="167">
        <v>6865</v>
      </c>
    </row>
    <row r="1286" spans="1:30" s="161" customFormat="1" ht="39.950000000000003" hidden="1" customHeight="1" outlineLevel="1" x14ac:dyDescent="0.25">
      <c r="A1286" s="21"/>
      <c r="B1286" s="21" t="s">
        <v>1957</v>
      </c>
      <c r="C1286" s="159" t="s">
        <v>1963</v>
      </c>
      <c r="D1286" s="161">
        <v>4560</v>
      </c>
      <c r="E1286" s="161">
        <v>48</v>
      </c>
      <c r="F1286" s="161">
        <v>95</v>
      </c>
      <c r="G1286" s="161" t="s">
        <v>1964</v>
      </c>
      <c r="H1286" s="161" t="s">
        <v>138</v>
      </c>
      <c r="I1286" s="161">
        <v>20</v>
      </c>
      <c r="J1286" s="161" t="s">
        <v>389</v>
      </c>
      <c r="K1286" s="21" t="s">
        <v>106</v>
      </c>
      <c r="L1286" s="161" t="s">
        <v>3380</v>
      </c>
      <c r="M1286" s="21" t="s">
        <v>568</v>
      </c>
      <c r="N1286" s="161" t="s">
        <v>67</v>
      </c>
      <c r="O1286" s="21" t="s">
        <v>1630</v>
      </c>
      <c r="P1286" s="161" t="s">
        <v>109</v>
      </c>
      <c r="Q1286" s="21" t="s">
        <v>70</v>
      </c>
      <c r="R1286" s="161">
        <v>80</v>
      </c>
      <c r="S1286" s="161" t="s">
        <v>1568</v>
      </c>
      <c r="T1286" s="161" t="s">
        <v>1960</v>
      </c>
      <c r="U1286" s="161" t="s">
        <v>73</v>
      </c>
      <c r="V1286" s="21" t="s">
        <v>74</v>
      </c>
      <c r="W1286" s="21" t="s">
        <v>1961</v>
      </c>
      <c r="X1286" s="161" t="s">
        <v>1965</v>
      </c>
      <c r="Y1286" s="161">
        <v>1.7420000000000001E-2</v>
      </c>
      <c r="Z1286" s="161">
        <v>2.2000000000000002</v>
      </c>
      <c r="AA1286" s="161" t="s">
        <v>1933</v>
      </c>
      <c r="AB1286" s="161" t="s">
        <v>114</v>
      </c>
      <c r="AC1286" s="266" t="str">
        <f>HYPERLINK("https://gcsvt.ru/svetodiodnyie-svetilniki/svt-off-inray-1200-48w-m-rb/","Ссылка")</f>
        <v>Ссылка</v>
      </c>
      <c r="AD1286" s="167">
        <v>7912</v>
      </c>
    </row>
    <row r="1287" spans="1:30" s="161" customFormat="1" ht="39.950000000000003" hidden="1" customHeight="1" outlineLevel="1" x14ac:dyDescent="0.25">
      <c r="A1287" s="21"/>
      <c r="B1287" s="21" t="s">
        <v>1957</v>
      </c>
      <c r="C1287" s="159" t="s">
        <v>1966</v>
      </c>
      <c r="D1287" s="161">
        <v>5700</v>
      </c>
      <c r="E1287" s="161">
        <v>60</v>
      </c>
      <c r="F1287" s="161">
        <v>95</v>
      </c>
      <c r="G1287" s="161" t="s">
        <v>1967</v>
      </c>
      <c r="H1287" s="161" t="s">
        <v>138</v>
      </c>
      <c r="I1287" s="161">
        <v>20</v>
      </c>
      <c r="J1287" s="161" t="s">
        <v>389</v>
      </c>
      <c r="K1287" s="21" t="s">
        <v>106</v>
      </c>
      <c r="L1287" s="161" t="s">
        <v>3380</v>
      </c>
      <c r="M1287" s="21" t="s">
        <v>568</v>
      </c>
      <c r="N1287" s="161" t="s">
        <v>67</v>
      </c>
      <c r="O1287" s="21" t="s">
        <v>1630</v>
      </c>
      <c r="P1287" s="161" t="s">
        <v>109</v>
      </c>
      <c r="Q1287" s="21" t="s">
        <v>70</v>
      </c>
      <c r="R1287" s="161">
        <v>80</v>
      </c>
      <c r="S1287" s="161" t="s">
        <v>1968</v>
      </c>
      <c r="T1287" s="161" t="s">
        <v>1960</v>
      </c>
      <c r="U1287" s="161" t="s">
        <v>73</v>
      </c>
      <c r="V1287" s="21" t="s">
        <v>74</v>
      </c>
      <c r="W1287" s="21" t="s">
        <v>1961</v>
      </c>
      <c r="X1287" s="161" t="s">
        <v>1969</v>
      </c>
      <c r="Y1287" s="161">
        <v>2.1319999999999999E-2</v>
      </c>
      <c r="Z1287" s="161">
        <v>2.5</v>
      </c>
      <c r="AA1287" s="161" t="s">
        <v>1933</v>
      </c>
      <c r="AB1287" s="161" t="s">
        <v>114</v>
      </c>
      <c r="AC1287" s="266" t="str">
        <f>HYPERLINK("https://gcsvt.ru/svetodiodnyie-svetilniki/svt-off-inray-1500-60w-m-rb/","Ссылка")</f>
        <v>Ссылка</v>
      </c>
      <c r="AD1287" s="167">
        <v>8954</v>
      </c>
    </row>
    <row r="1288" spans="1:30" s="161" customFormat="1" ht="39.950000000000003" hidden="1" customHeight="1" outlineLevel="1" x14ac:dyDescent="0.25">
      <c r="A1288" s="21"/>
      <c r="B1288" s="21" t="s">
        <v>1957</v>
      </c>
      <c r="C1288" s="159" t="s">
        <v>1970</v>
      </c>
      <c r="D1288" s="161">
        <v>3420</v>
      </c>
      <c r="E1288" s="161">
        <v>36</v>
      </c>
      <c r="F1288" s="161">
        <v>95</v>
      </c>
      <c r="G1288" s="161" t="s">
        <v>1971</v>
      </c>
      <c r="H1288" s="161" t="s">
        <v>138</v>
      </c>
      <c r="I1288" s="161">
        <v>20</v>
      </c>
      <c r="J1288" s="161" t="s">
        <v>389</v>
      </c>
      <c r="K1288" s="21" t="s">
        <v>106</v>
      </c>
      <c r="L1288" s="161" t="s">
        <v>3380</v>
      </c>
      <c r="M1288" s="21" t="s">
        <v>1972</v>
      </c>
      <c r="N1288" s="161" t="s">
        <v>67</v>
      </c>
      <c r="O1288" s="21" t="s">
        <v>1630</v>
      </c>
      <c r="P1288" s="161" t="s">
        <v>109</v>
      </c>
      <c r="Q1288" s="21" t="s">
        <v>70</v>
      </c>
      <c r="R1288" s="161">
        <v>80</v>
      </c>
      <c r="S1288" s="161" t="s">
        <v>1564</v>
      </c>
      <c r="T1288" s="161" t="s">
        <v>1960</v>
      </c>
      <c r="U1288" s="161" t="s">
        <v>73</v>
      </c>
      <c r="V1288" s="21" t="s">
        <v>74</v>
      </c>
      <c r="W1288" s="21" t="s">
        <v>1961</v>
      </c>
      <c r="X1288" s="161" t="s">
        <v>1962</v>
      </c>
      <c r="Y1288" s="161">
        <v>1.3520000000000001E-2</v>
      </c>
      <c r="Z1288" s="161">
        <v>1.8</v>
      </c>
      <c r="AA1288" s="161" t="s">
        <v>1933</v>
      </c>
      <c r="AB1288" s="161" t="s">
        <v>114</v>
      </c>
      <c r="AC1288" s="266" t="str">
        <f>HYPERLINK("https://gcsvt.ru/svetodiodnyie-svetilniki/svt-off-inray-900-36w-m-dali-rb/","Ссылка")</f>
        <v>Ссылка</v>
      </c>
      <c r="AD1288" s="170" t="s">
        <v>2859</v>
      </c>
    </row>
    <row r="1289" spans="1:30" s="161" customFormat="1" ht="39.950000000000003" hidden="1" customHeight="1" outlineLevel="1" x14ac:dyDescent="0.25">
      <c r="A1289" s="21"/>
      <c r="B1289" s="21" t="s">
        <v>1957</v>
      </c>
      <c r="C1289" s="159" t="s">
        <v>1973</v>
      </c>
      <c r="D1289" s="161">
        <v>4560</v>
      </c>
      <c r="E1289" s="161">
        <v>48</v>
      </c>
      <c r="F1289" s="161">
        <v>95</v>
      </c>
      <c r="G1289" s="161" t="s">
        <v>1974</v>
      </c>
      <c r="H1289" s="161" t="s">
        <v>138</v>
      </c>
      <c r="I1289" s="161">
        <v>20</v>
      </c>
      <c r="J1289" s="161" t="s">
        <v>389</v>
      </c>
      <c r="K1289" s="21" t="s">
        <v>106</v>
      </c>
      <c r="L1289" s="161" t="s">
        <v>3380</v>
      </c>
      <c r="M1289" s="21" t="s">
        <v>1972</v>
      </c>
      <c r="N1289" s="161" t="s">
        <v>67</v>
      </c>
      <c r="O1289" s="21" t="s">
        <v>1630</v>
      </c>
      <c r="P1289" s="161" t="s">
        <v>109</v>
      </c>
      <c r="Q1289" s="21" t="s">
        <v>70</v>
      </c>
      <c r="R1289" s="161">
        <v>80</v>
      </c>
      <c r="S1289" s="161" t="s">
        <v>1568</v>
      </c>
      <c r="T1289" s="161" t="s">
        <v>1960</v>
      </c>
      <c r="U1289" s="161" t="s">
        <v>73</v>
      </c>
      <c r="V1289" s="21" t="s">
        <v>74</v>
      </c>
      <c r="W1289" s="21" t="s">
        <v>1961</v>
      </c>
      <c r="X1289" s="161" t="s">
        <v>1965</v>
      </c>
      <c r="Y1289" s="161">
        <v>1.7420000000000001E-2</v>
      </c>
      <c r="Z1289" s="161">
        <v>2.2000000000000002</v>
      </c>
      <c r="AA1289" s="161" t="s">
        <v>1933</v>
      </c>
      <c r="AB1289" s="161" t="s">
        <v>114</v>
      </c>
      <c r="AC1289" s="266" t="str">
        <f>HYPERLINK("https://gcsvt.ru/svetodiodnyie-svetilniki/svt-off-inray-1200-48w-m-dali-rb/","Ссылка")</f>
        <v>Ссылка</v>
      </c>
      <c r="AD1289" s="170" t="s">
        <v>2859</v>
      </c>
    </row>
    <row r="1290" spans="1:30" s="161" customFormat="1" ht="39.950000000000003" hidden="1" customHeight="1" outlineLevel="1" x14ac:dyDescent="0.25">
      <c r="A1290" s="21"/>
      <c r="B1290" s="21" t="s">
        <v>1957</v>
      </c>
      <c r="C1290" s="159" t="s">
        <v>1975</v>
      </c>
      <c r="D1290" s="161">
        <v>5700</v>
      </c>
      <c r="E1290" s="161">
        <v>60</v>
      </c>
      <c r="F1290" s="161">
        <v>95</v>
      </c>
      <c r="G1290" s="161" t="s">
        <v>1976</v>
      </c>
      <c r="H1290" s="161" t="s">
        <v>138</v>
      </c>
      <c r="I1290" s="161">
        <v>20</v>
      </c>
      <c r="J1290" s="161" t="s">
        <v>389</v>
      </c>
      <c r="K1290" s="21" t="s">
        <v>106</v>
      </c>
      <c r="L1290" s="161" t="s">
        <v>3380</v>
      </c>
      <c r="M1290" s="21" t="s">
        <v>1972</v>
      </c>
      <c r="N1290" s="161" t="s">
        <v>67</v>
      </c>
      <c r="O1290" s="21" t="s">
        <v>1630</v>
      </c>
      <c r="P1290" s="161" t="s">
        <v>109</v>
      </c>
      <c r="Q1290" s="21" t="s">
        <v>70</v>
      </c>
      <c r="R1290" s="161">
        <v>80</v>
      </c>
      <c r="S1290" s="161" t="s">
        <v>1968</v>
      </c>
      <c r="T1290" s="161" t="s">
        <v>1960</v>
      </c>
      <c r="U1290" s="161" t="s">
        <v>73</v>
      </c>
      <c r="V1290" s="21" t="s">
        <v>74</v>
      </c>
      <c r="W1290" s="21" t="s">
        <v>1961</v>
      </c>
      <c r="X1290" s="161" t="s">
        <v>1969</v>
      </c>
      <c r="Y1290" s="161">
        <v>2.1319999999999999E-2</v>
      </c>
      <c r="Z1290" s="161">
        <v>2.5</v>
      </c>
      <c r="AA1290" s="161" t="s">
        <v>1933</v>
      </c>
      <c r="AB1290" s="161" t="s">
        <v>114</v>
      </c>
      <c r="AC1290" s="266" t="str">
        <f>HYPERLINK("https://gcsvt.ru/svetodiodnyie-svetilniki/svt-off-inray-1500-60w-m-dali-rb/","Ссылка")</f>
        <v>Ссылка</v>
      </c>
      <c r="AD1290" s="170" t="s">
        <v>2859</v>
      </c>
    </row>
    <row r="1291" spans="1:30" s="161" customFormat="1" ht="39.950000000000003" hidden="1" customHeight="1" outlineLevel="1" x14ac:dyDescent="0.25">
      <c r="A1291" s="21"/>
      <c r="B1291" s="21" t="s">
        <v>1957</v>
      </c>
      <c r="C1291" s="159" t="s">
        <v>1977</v>
      </c>
      <c r="D1291" s="161">
        <v>6840</v>
      </c>
      <c r="E1291" s="161">
        <v>72</v>
      </c>
      <c r="F1291" s="161">
        <v>95</v>
      </c>
      <c r="G1291" s="161" t="s">
        <v>1978</v>
      </c>
      <c r="H1291" s="161" t="s">
        <v>138</v>
      </c>
      <c r="I1291" s="161">
        <v>20</v>
      </c>
      <c r="J1291" s="161" t="s">
        <v>389</v>
      </c>
      <c r="K1291" s="21" t="s">
        <v>106</v>
      </c>
      <c r="L1291" s="161" t="s">
        <v>3380</v>
      </c>
      <c r="M1291" s="21" t="s">
        <v>1972</v>
      </c>
      <c r="N1291" s="161" t="s">
        <v>67</v>
      </c>
      <c r="O1291" s="21" t="s">
        <v>1630</v>
      </c>
      <c r="P1291" s="161" t="s">
        <v>109</v>
      </c>
      <c r="Q1291" s="21" t="s">
        <v>70</v>
      </c>
      <c r="R1291" s="161">
        <v>80</v>
      </c>
      <c r="S1291" s="161" t="s">
        <v>1979</v>
      </c>
      <c r="T1291" s="161" t="s">
        <v>1960</v>
      </c>
      <c r="U1291" s="161" t="s">
        <v>73</v>
      </c>
      <c r="V1291" s="21" t="s">
        <v>74</v>
      </c>
      <c r="W1291" s="21" t="s">
        <v>1961</v>
      </c>
      <c r="X1291" s="161" t="s">
        <v>1980</v>
      </c>
      <c r="Y1291" s="161">
        <v>2.47E-2</v>
      </c>
      <c r="Z1291" s="161">
        <v>3</v>
      </c>
      <c r="AA1291" s="161" t="s">
        <v>1933</v>
      </c>
      <c r="AB1291" s="161" t="s">
        <v>114</v>
      </c>
      <c r="AC1291" s="266" t="str">
        <f>HYPERLINK("https://gcsvt.ru/svetodiodnyie-svetilniki/svt-off-inray-1800-72w-m-dali-rb/","Ссылка")</f>
        <v>Ссылка</v>
      </c>
      <c r="AD1291" s="170" t="s">
        <v>2859</v>
      </c>
    </row>
    <row r="1292" spans="1:30" s="161" customFormat="1" ht="39.950000000000003" customHeight="1" collapsed="1" x14ac:dyDescent="0.25">
      <c r="A1292" s="158"/>
      <c r="B1292" s="195" t="s">
        <v>3994</v>
      </c>
      <c r="C1292" s="202"/>
      <c r="D1292" s="163"/>
      <c r="E1292" s="163"/>
      <c r="F1292" s="163"/>
      <c r="G1292" s="163"/>
      <c r="H1292" s="163"/>
      <c r="I1292" s="163"/>
      <c r="J1292" s="163"/>
      <c r="K1292" s="75"/>
      <c r="L1292" s="163"/>
      <c r="M1292" s="75"/>
      <c r="N1292" s="163"/>
      <c r="O1292" s="75"/>
      <c r="P1292" s="163"/>
      <c r="Q1292" s="75"/>
      <c r="R1292" s="163"/>
      <c r="S1292" s="163"/>
      <c r="T1292" s="163"/>
      <c r="U1292" s="163"/>
      <c r="V1292" s="75"/>
      <c r="W1292" s="75"/>
      <c r="X1292" s="163"/>
      <c r="Y1292" s="163"/>
      <c r="Z1292" s="163"/>
      <c r="AA1292" s="163"/>
      <c r="AB1292" s="163"/>
      <c r="AC1292" s="227"/>
      <c r="AD1292" s="164"/>
    </row>
    <row r="1293" spans="1:30" s="161" customFormat="1" ht="39.950000000000003" hidden="1" customHeight="1" outlineLevel="1" x14ac:dyDescent="0.25">
      <c r="A1293" s="21"/>
      <c r="B1293" s="21" t="s">
        <v>1981</v>
      </c>
      <c r="C1293" s="159" t="s">
        <v>1982</v>
      </c>
      <c r="D1293" s="161">
        <v>3000</v>
      </c>
      <c r="E1293" s="161">
        <v>30</v>
      </c>
      <c r="F1293" s="161">
        <v>100</v>
      </c>
      <c r="G1293" s="161" t="s">
        <v>1983</v>
      </c>
      <c r="H1293" s="161" t="s">
        <v>138</v>
      </c>
      <c r="I1293" s="161">
        <v>20</v>
      </c>
      <c r="J1293" s="161" t="s">
        <v>105</v>
      </c>
      <c r="K1293" s="21" t="s">
        <v>106</v>
      </c>
      <c r="L1293" s="161" t="s">
        <v>1618</v>
      </c>
      <c r="M1293" s="21" t="s">
        <v>1984</v>
      </c>
      <c r="N1293" s="161" t="s">
        <v>67</v>
      </c>
      <c r="O1293" s="21" t="s">
        <v>1630</v>
      </c>
      <c r="P1293" s="161" t="s">
        <v>109</v>
      </c>
      <c r="Q1293" s="21" t="s">
        <v>1985</v>
      </c>
      <c r="R1293" s="161">
        <v>80</v>
      </c>
      <c r="S1293" s="161" t="s">
        <v>1986</v>
      </c>
      <c r="T1293" s="161" t="s">
        <v>1987</v>
      </c>
      <c r="U1293" s="161" t="s">
        <v>2007</v>
      </c>
      <c r="V1293" s="21" t="s">
        <v>1988</v>
      </c>
      <c r="W1293" s="21" t="s">
        <v>1989</v>
      </c>
      <c r="X1293" s="161" t="s">
        <v>1990</v>
      </c>
      <c r="Y1293" s="161">
        <v>0.01</v>
      </c>
      <c r="Z1293" s="161">
        <v>0.5</v>
      </c>
      <c r="AA1293" s="161" t="s">
        <v>1933</v>
      </c>
      <c r="AB1293" s="161" t="s">
        <v>114</v>
      </c>
      <c r="AC1293" s="266" t="str">
        <f>HYPERLINK("https://gcsvt.ru/svetodiodnyie-svetilniki/svt-off-dl-30w-4000k/","Ссылка")</f>
        <v>Ссылка</v>
      </c>
      <c r="AD1293" s="167">
        <v>4640</v>
      </c>
    </row>
    <row r="1294" spans="1:30" s="161" customFormat="1" ht="39.950000000000003" hidden="1" customHeight="1" outlineLevel="1" x14ac:dyDescent="0.25">
      <c r="A1294" s="21"/>
      <c r="B1294" s="21" t="s">
        <v>1981</v>
      </c>
      <c r="C1294" s="159" t="s">
        <v>1991</v>
      </c>
      <c r="D1294" s="161">
        <v>3000</v>
      </c>
      <c r="E1294" s="161">
        <v>30</v>
      </c>
      <c r="F1294" s="161">
        <v>100</v>
      </c>
      <c r="G1294" s="161" t="s">
        <v>1992</v>
      </c>
      <c r="H1294" s="161" t="s">
        <v>138</v>
      </c>
      <c r="I1294" s="161">
        <v>20</v>
      </c>
      <c r="J1294" s="161" t="s">
        <v>105</v>
      </c>
      <c r="K1294" s="21" t="s">
        <v>106</v>
      </c>
      <c r="L1294" s="161" t="s">
        <v>1618</v>
      </c>
      <c r="M1294" s="21" t="s">
        <v>1993</v>
      </c>
      <c r="N1294" s="161" t="s">
        <v>67</v>
      </c>
      <c r="O1294" s="21" t="s">
        <v>1630</v>
      </c>
      <c r="P1294" s="161" t="s">
        <v>109</v>
      </c>
      <c r="Q1294" s="21" t="s">
        <v>1985</v>
      </c>
      <c r="R1294" s="161">
        <v>80</v>
      </c>
      <c r="S1294" s="161" t="s">
        <v>1986</v>
      </c>
      <c r="T1294" s="161" t="s">
        <v>1987</v>
      </c>
      <c r="U1294" s="161" t="s">
        <v>2007</v>
      </c>
      <c r="V1294" s="21" t="s">
        <v>1988</v>
      </c>
      <c r="W1294" s="21" t="s">
        <v>1989</v>
      </c>
      <c r="X1294" s="161" t="s">
        <v>1990</v>
      </c>
      <c r="Y1294" s="161">
        <v>0.01</v>
      </c>
      <c r="Z1294" s="161">
        <v>0.5</v>
      </c>
      <c r="AA1294" s="161" t="s">
        <v>1639</v>
      </c>
      <c r="AB1294" s="161" t="s">
        <v>114</v>
      </c>
      <c r="AC1294" s="266" t="str">
        <f>HYPERLINK("https://gcsvt.ru/svetodiodnyie-svetilniki/svt-off-dl-30w-4000k-0-10v/","Ссылка")</f>
        <v>Ссылка</v>
      </c>
      <c r="AD1294" s="170" t="s">
        <v>2859</v>
      </c>
    </row>
    <row r="1295" spans="1:30" s="161" customFormat="1" ht="39.950000000000003" hidden="1" customHeight="1" outlineLevel="1" x14ac:dyDescent="0.25">
      <c r="A1295" s="21"/>
      <c r="B1295" s="21" t="s">
        <v>1981</v>
      </c>
      <c r="C1295" s="159" t="s">
        <v>1994</v>
      </c>
      <c r="D1295" s="161">
        <v>3000</v>
      </c>
      <c r="E1295" s="161">
        <v>30</v>
      </c>
      <c r="F1295" s="161">
        <v>100</v>
      </c>
      <c r="G1295" s="161" t="s">
        <v>1995</v>
      </c>
      <c r="H1295" s="161" t="s">
        <v>138</v>
      </c>
      <c r="I1295" s="161">
        <v>20</v>
      </c>
      <c r="J1295" s="161" t="s">
        <v>105</v>
      </c>
      <c r="K1295" s="21" t="s">
        <v>106</v>
      </c>
      <c r="L1295" s="161" t="s">
        <v>1618</v>
      </c>
      <c r="M1295" s="21" t="s">
        <v>1996</v>
      </c>
      <c r="N1295" s="161" t="s">
        <v>67</v>
      </c>
      <c r="O1295" s="21" t="s">
        <v>1630</v>
      </c>
      <c r="P1295" s="161" t="s">
        <v>109</v>
      </c>
      <c r="Q1295" s="21" t="s">
        <v>1985</v>
      </c>
      <c r="R1295" s="161">
        <v>80</v>
      </c>
      <c r="S1295" s="161" t="s">
        <v>1986</v>
      </c>
      <c r="T1295" s="161" t="s">
        <v>1987</v>
      </c>
      <c r="U1295" s="161" t="s">
        <v>2007</v>
      </c>
      <c r="V1295" s="21" t="s">
        <v>1988</v>
      </c>
      <c r="W1295" s="21" t="s">
        <v>1989</v>
      </c>
      <c r="X1295" s="161" t="s">
        <v>1990</v>
      </c>
      <c r="Y1295" s="161">
        <v>0.01</v>
      </c>
      <c r="Z1295" s="161">
        <v>0.5</v>
      </c>
      <c r="AA1295" s="161" t="s">
        <v>1639</v>
      </c>
      <c r="AB1295" s="161" t="s">
        <v>114</v>
      </c>
      <c r="AC1295" s="266" t="str">
        <f>HYPERLINK("https://gcsvt.ru/svetodiodnyie-svetilniki/svt-off-dl-30w-4000k-dali/","Ссылка")</f>
        <v>Ссылка</v>
      </c>
      <c r="AD1295" s="170" t="s">
        <v>2859</v>
      </c>
    </row>
    <row r="1296" spans="1:30" s="161" customFormat="1" ht="39.950000000000003" hidden="1" customHeight="1" outlineLevel="1" x14ac:dyDescent="0.25">
      <c r="A1296" s="21"/>
      <c r="B1296" s="21" t="s">
        <v>1981</v>
      </c>
      <c r="C1296" s="159" t="s">
        <v>1997</v>
      </c>
      <c r="D1296" s="161">
        <v>3000</v>
      </c>
      <c r="E1296" s="161">
        <v>30</v>
      </c>
      <c r="F1296" s="161">
        <v>100</v>
      </c>
      <c r="G1296" s="161" t="s">
        <v>1998</v>
      </c>
      <c r="H1296" s="161" t="s">
        <v>138</v>
      </c>
      <c r="I1296" s="161">
        <v>54</v>
      </c>
      <c r="J1296" s="161" t="s">
        <v>105</v>
      </c>
      <c r="K1296" s="21" t="s">
        <v>106</v>
      </c>
      <c r="L1296" s="161" t="s">
        <v>1618</v>
      </c>
      <c r="M1296" s="21" t="s">
        <v>1984</v>
      </c>
      <c r="N1296" s="161" t="s">
        <v>108</v>
      </c>
      <c r="O1296" s="21" t="s">
        <v>1630</v>
      </c>
      <c r="P1296" s="161" t="s">
        <v>109</v>
      </c>
      <c r="Q1296" s="21" t="s">
        <v>1985</v>
      </c>
      <c r="R1296" s="161">
        <v>80</v>
      </c>
      <c r="S1296" s="161" t="s">
        <v>1986</v>
      </c>
      <c r="T1296" s="161" t="s">
        <v>1987</v>
      </c>
      <c r="U1296" s="161" t="s">
        <v>2007</v>
      </c>
      <c r="V1296" s="21" t="s">
        <v>1988</v>
      </c>
      <c r="W1296" s="21" t="s">
        <v>1989</v>
      </c>
      <c r="X1296" s="161" t="s">
        <v>1990</v>
      </c>
      <c r="Y1296" s="161">
        <v>0.01</v>
      </c>
      <c r="Z1296" s="161">
        <v>0.5</v>
      </c>
      <c r="AA1296" s="161" t="s">
        <v>1933</v>
      </c>
      <c r="AB1296" s="161" t="s">
        <v>114</v>
      </c>
      <c r="AC1296" s="266" t="str">
        <f>HYPERLINK("https://gcsvt.ru/svetodiodnyie-svetilniki/svt-off-dl-30w-4000k-ip54/","Ссылка")</f>
        <v>Ссылка</v>
      </c>
      <c r="AD1296" s="167">
        <v>5714</v>
      </c>
    </row>
    <row r="1297" spans="1:30" s="161" customFormat="1" ht="39.950000000000003" customHeight="1" collapsed="1" x14ac:dyDescent="0.25">
      <c r="A1297" s="165"/>
      <c r="B1297" s="195" t="s">
        <v>4011</v>
      </c>
      <c r="C1297" s="202"/>
      <c r="D1297" s="163"/>
      <c r="E1297" s="163"/>
      <c r="F1297" s="163"/>
      <c r="G1297" s="163"/>
      <c r="H1297" s="163"/>
      <c r="I1297" s="163"/>
      <c r="J1297" s="163"/>
      <c r="K1297" s="75"/>
      <c r="L1297" s="163"/>
      <c r="M1297" s="75"/>
      <c r="N1297" s="163"/>
      <c r="O1297" s="75"/>
      <c r="P1297" s="163"/>
      <c r="Q1297" s="75"/>
      <c r="R1297" s="163"/>
      <c r="S1297" s="163"/>
      <c r="T1297" s="163"/>
      <c r="U1297" s="163"/>
      <c r="V1297" s="75"/>
      <c r="W1297" s="75"/>
      <c r="X1297" s="163"/>
      <c r="Y1297" s="163"/>
      <c r="Z1297" s="163"/>
      <c r="AA1297" s="163"/>
      <c r="AB1297" s="163"/>
      <c r="AC1297" s="227"/>
      <c r="AD1297" s="164"/>
    </row>
    <row r="1298" spans="1:30" s="161" customFormat="1" ht="39.950000000000003" hidden="1" customHeight="1" outlineLevel="1" x14ac:dyDescent="0.25">
      <c r="A1298" s="21"/>
      <c r="B1298" s="21" t="s">
        <v>2127</v>
      </c>
      <c r="C1298" s="159" t="s">
        <v>2128</v>
      </c>
      <c r="D1298" s="161">
        <v>5160</v>
      </c>
      <c r="E1298" s="161">
        <v>48</v>
      </c>
      <c r="F1298" s="161">
        <v>107</v>
      </c>
      <c r="G1298" s="161" t="s">
        <v>2129</v>
      </c>
      <c r="H1298" s="161" t="s">
        <v>138</v>
      </c>
      <c r="I1298" s="161">
        <v>20</v>
      </c>
      <c r="J1298" s="161" t="s">
        <v>389</v>
      </c>
      <c r="K1298" s="21" t="s">
        <v>106</v>
      </c>
      <c r="L1298" s="161" t="s">
        <v>3380</v>
      </c>
      <c r="M1298" s="21" t="s">
        <v>2130</v>
      </c>
      <c r="N1298" s="161" t="s">
        <v>67</v>
      </c>
      <c r="O1298" s="21" t="s">
        <v>2131</v>
      </c>
      <c r="P1298" s="161" t="s">
        <v>109</v>
      </c>
      <c r="Q1298" s="21" t="s">
        <v>70</v>
      </c>
      <c r="R1298" s="161">
        <v>80</v>
      </c>
      <c r="S1298" s="161" t="s">
        <v>1568</v>
      </c>
      <c r="T1298" s="161" t="s">
        <v>1960</v>
      </c>
      <c r="U1298" s="161" t="s">
        <v>73</v>
      </c>
      <c r="V1298" s="21" t="s">
        <v>1931</v>
      </c>
      <c r="W1298" s="21" t="s">
        <v>2132</v>
      </c>
      <c r="X1298" s="161" t="s">
        <v>2133</v>
      </c>
      <c r="Y1298" s="161">
        <v>0.02</v>
      </c>
      <c r="Z1298" s="161">
        <v>1.7</v>
      </c>
      <c r="AA1298" s="161" t="s">
        <v>1933</v>
      </c>
      <c r="AB1298" s="161" t="s">
        <v>114</v>
      </c>
      <c r="AC1298" s="266" t="str">
        <f>HYPERLINK("https://gcsvt.ru/svetodiodnyie-svetilniki/svt-rtl-b-l-28-48w-1200-pr/","Ссылка")</f>
        <v>Ссылка</v>
      </c>
      <c r="AD1298" s="167">
        <v>6688</v>
      </c>
    </row>
    <row r="1299" spans="1:30" s="161" customFormat="1" ht="39.950000000000003" hidden="1" customHeight="1" outlineLevel="1" x14ac:dyDescent="0.25">
      <c r="A1299" s="21"/>
      <c r="B1299" s="21" t="s">
        <v>2127</v>
      </c>
      <c r="C1299" s="159" t="s">
        <v>2134</v>
      </c>
      <c r="D1299" s="161">
        <v>6400</v>
      </c>
      <c r="E1299" s="161">
        <v>60</v>
      </c>
      <c r="F1299" s="161">
        <v>106</v>
      </c>
      <c r="G1299" s="161" t="s">
        <v>2135</v>
      </c>
      <c r="H1299" s="161" t="s">
        <v>138</v>
      </c>
      <c r="I1299" s="161">
        <v>20</v>
      </c>
      <c r="J1299" s="161" t="s">
        <v>389</v>
      </c>
      <c r="K1299" s="21" t="s">
        <v>106</v>
      </c>
      <c r="L1299" s="161" t="s">
        <v>3380</v>
      </c>
      <c r="M1299" s="21" t="s">
        <v>2130</v>
      </c>
      <c r="N1299" s="161" t="s">
        <v>67</v>
      </c>
      <c r="O1299" s="21" t="s">
        <v>2131</v>
      </c>
      <c r="P1299" s="161" t="s">
        <v>109</v>
      </c>
      <c r="Q1299" s="21" t="s">
        <v>70</v>
      </c>
      <c r="R1299" s="161">
        <v>80</v>
      </c>
      <c r="S1299" s="161" t="s">
        <v>1968</v>
      </c>
      <c r="T1299" s="161" t="s">
        <v>1960</v>
      </c>
      <c r="U1299" s="161" t="s">
        <v>73</v>
      </c>
      <c r="V1299" s="21" t="s">
        <v>1931</v>
      </c>
      <c r="W1299" s="21" t="s">
        <v>2132</v>
      </c>
      <c r="X1299" s="161" t="s">
        <v>2136</v>
      </c>
      <c r="Y1299" s="161">
        <v>2.1255E-2</v>
      </c>
      <c r="Z1299" s="161">
        <v>1.8</v>
      </c>
      <c r="AA1299" s="161" t="s">
        <v>1933</v>
      </c>
      <c r="AB1299" s="161" t="s">
        <v>114</v>
      </c>
      <c r="AC1299" s="266" t="str">
        <f>HYPERLINK("https://gcsvt.ru/svetodiodnyie-svetilniki/svt-rtl-b-l-30-60w-1500-pr/","Ссылка")</f>
        <v>Ссылка</v>
      </c>
      <c r="AD1299" s="167">
        <v>7055</v>
      </c>
    </row>
    <row r="1300" spans="1:30" s="161" customFormat="1" ht="39.950000000000003" customHeight="1" collapsed="1" x14ac:dyDescent="0.25">
      <c r="A1300" s="6"/>
      <c r="B1300" s="197" t="s">
        <v>4012</v>
      </c>
      <c r="C1300" s="202"/>
      <c r="D1300" s="163"/>
      <c r="E1300" s="163"/>
      <c r="F1300" s="163"/>
      <c r="G1300" s="163"/>
      <c r="H1300" s="163"/>
      <c r="I1300" s="163"/>
      <c r="J1300" s="163"/>
      <c r="K1300" s="75"/>
      <c r="L1300" s="163"/>
      <c r="M1300" s="75"/>
      <c r="N1300" s="163"/>
      <c r="O1300" s="75"/>
      <c r="P1300" s="163"/>
      <c r="Q1300" s="75"/>
      <c r="R1300" s="163"/>
      <c r="S1300" s="163"/>
      <c r="T1300" s="163"/>
      <c r="U1300" s="163"/>
      <c r="V1300" s="75"/>
      <c r="W1300" s="75"/>
      <c r="X1300" s="163"/>
      <c r="Y1300" s="163"/>
      <c r="Z1300" s="163"/>
      <c r="AA1300" s="163"/>
      <c r="AB1300" s="163"/>
      <c r="AC1300" s="227"/>
      <c r="AD1300" s="164"/>
    </row>
    <row r="1301" spans="1:30" s="154" customFormat="1" ht="39.950000000000003" hidden="1" customHeight="1" outlineLevel="1" x14ac:dyDescent="0.25">
      <c r="A1301" s="21"/>
      <c r="B1301" s="23" t="s">
        <v>3051</v>
      </c>
      <c r="C1301" s="80" t="s">
        <v>3063</v>
      </c>
      <c r="D1301" s="154">
        <v>1849</v>
      </c>
      <c r="E1301" s="154">
        <v>15</v>
      </c>
      <c r="F1301" s="162">
        <v>123</v>
      </c>
      <c r="G1301" s="154" t="s">
        <v>3065</v>
      </c>
      <c r="H1301" s="154" t="s">
        <v>138</v>
      </c>
      <c r="I1301" s="154">
        <v>20</v>
      </c>
      <c r="J1301" s="154" t="s">
        <v>105</v>
      </c>
      <c r="K1301" s="23" t="s">
        <v>106</v>
      </c>
      <c r="L1301" s="154" t="s">
        <v>3380</v>
      </c>
      <c r="M1301" s="23" t="s">
        <v>2107</v>
      </c>
      <c r="N1301" s="154" t="s">
        <v>67</v>
      </c>
      <c r="O1301" s="23" t="s">
        <v>2131</v>
      </c>
      <c r="P1301" s="154" t="s">
        <v>109</v>
      </c>
      <c r="Q1301" s="23" t="s">
        <v>2288</v>
      </c>
      <c r="R1301" s="154" t="s">
        <v>1324</v>
      </c>
      <c r="S1301" s="154" t="s">
        <v>2788</v>
      </c>
      <c r="T1301" s="154" t="s">
        <v>3064</v>
      </c>
      <c r="U1301" s="154" t="s">
        <v>73</v>
      </c>
      <c r="V1301" s="23" t="s">
        <v>1931</v>
      </c>
      <c r="W1301" s="23" t="s">
        <v>3052</v>
      </c>
      <c r="X1301" s="154" t="s">
        <v>3062</v>
      </c>
      <c r="Y1301" s="154">
        <v>0.1</v>
      </c>
      <c r="Z1301" s="154">
        <v>3</v>
      </c>
      <c r="AA1301" s="154" t="s">
        <v>1625</v>
      </c>
      <c r="AB1301" s="154" t="s">
        <v>114</v>
      </c>
      <c r="AC1301" s="14" t="str">
        <f>HYPERLINK("https://gcsvt.ru/svetodiodnyie-svetilniki/svt-str-blackboard-15w-sk/","Ссылка")</f>
        <v>Ссылка</v>
      </c>
      <c r="AD1301" s="176" t="s">
        <v>2859</v>
      </c>
    </row>
    <row r="1302" spans="1:30" s="154" customFormat="1" ht="39.950000000000003" hidden="1" customHeight="1" outlineLevel="1" x14ac:dyDescent="0.25">
      <c r="A1302" s="21"/>
      <c r="B1302" s="23" t="s">
        <v>1929</v>
      </c>
      <c r="C1302" s="80" t="s">
        <v>3053</v>
      </c>
      <c r="D1302" s="154">
        <v>3300</v>
      </c>
      <c r="E1302" s="154">
        <v>28</v>
      </c>
      <c r="F1302" s="162">
        <v>117</v>
      </c>
      <c r="G1302" s="154" t="s">
        <v>3066</v>
      </c>
      <c r="H1302" s="154" t="s">
        <v>138</v>
      </c>
      <c r="I1302" s="154">
        <v>20</v>
      </c>
      <c r="J1302" s="154" t="s">
        <v>105</v>
      </c>
      <c r="K1302" s="23" t="s">
        <v>106</v>
      </c>
      <c r="L1302" s="154" t="s">
        <v>3380</v>
      </c>
      <c r="M1302" s="23" t="s">
        <v>2107</v>
      </c>
      <c r="N1302" s="154" t="s">
        <v>67</v>
      </c>
      <c r="O1302" s="23" t="s">
        <v>2131</v>
      </c>
      <c r="P1302" s="154" t="s">
        <v>109</v>
      </c>
      <c r="Q1302" s="23" t="s">
        <v>2288</v>
      </c>
      <c r="R1302" s="154" t="s">
        <v>1324</v>
      </c>
      <c r="S1302" s="154" t="s">
        <v>2787</v>
      </c>
      <c r="T1302" s="154" t="s">
        <v>2785</v>
      </c>
      <c r="U1302" s="154" t="s">
        <v>73</v>
      </c>
      <c r="V1302" s="23" t="s">
        <v>1931</v>
      </c>
      <c r="W1302" s="23" t="s">
        <v>1952</v>
      </c>
      <c r="X1302" s="154" t="s">
        <v>1951</v>
      </c>
      <c r="Y1302" s="154">
        <v>2.3064000000000001E-2</v>
      </c>
      <c r="Z1302" s="154">
        <v>3.19</v>
      </c>
      <c r="AA1302" s="154" t="s">
        <v>1933</v>
      </c>
      <c r="AB1302" s="154" t="s">
        <v>114</v>
      </c>
      <c r="AC1302" s="14" t="str">
        <f>HYPERLINK("https://gcsvt.ru/svetodiodnyie-svetilniki/svt-arm-u-595x595x40-28w-pr-sk/","Ссылка")</f>
        <v>Ссылка</v>
      </c>
      <c r="AD1302" s="176" t="s">
        <v>2859</v>
      </c>
    </row>
    <row r="1303" spans="1:30" s="154" customFormat="1" ht="39.950000000000003" hidden="1" customHeight="1" outlineLevel="1" x14ac:dyDescent="0.25">
      <c r="A1303" s="21"/>
      <c r="B1303" s="23" t="s">
        <v>1929</v>
      </c>
      <c r="C1303" s="80" t="s">
        <v>3054</v>
      </c>
      <c r="D1303" s="154">
        <v>4300</v>
      </c>
      <c r="E1303" s="154">
        <v>38</v>
      </c>
      <c r="F1303" s="154">
        <v>113</v>
      </c>
      <c r="G1303" s="154" t="s">
        <v>3067</v>
      </c>
      <c r="H1303" s="154" t="s">
        <v>138</v>
      </c>
      <c r="I1303" s="154">
        <v>20</v>
      </c>
      <c r="J1303" s="154" t="s">
        <v>105</v>
      </c>
      <c r="K1303" s="23" t="s">
        <v>106</v>
      </c>
      <c r="L1303" s="154" t="s">
        <v>3380</v>
      </c>
      <c r="M1303" s="23" t="s">
        <v>2107</v>
      </c>
      <c r="N1303" s="154" t="s">
        <v>67</v>
      </c>
      <c r="O1303" s="23" t="s">
        <v>2131</v>
      </c>
      <c r="P1303" s="154" t="s">
        <v>109</v>
      </c>
      <c r="Q1303" s="23" t="s">
        <v>2288</v>
      </c>
      <c r="R1303" s="154" t="s">
        <v>1324</v>
      </c>
      <c r="S1303" s="154" t="s">
        <v>2788</v>
      </c>
      <c r="T1303" s="154" t="s">
        <v>2786</v>
      </c>
      <c r="U1303" s="154" t="s">
        <v>73</v>
      </c>
      <c r="V1303" s="23" t="s">
        <v>1931</v>
      </c>
      <c r="W1303" s="23" t="s">
        <v>1952</v>
      </c>
      <c r="X1303" s="154" t="s">
        <v>1951</v>
      </c>
      <c r="Y1303" s="154">
        <v>2.3064000000000001E-2</v>
      </c>
      <c r="Z1303" s="154">
        <v>3.19</v>
      </c>
      <c r="AA1303" s="154" t="s">
        <v>1933</v>
      </c>
      <c r="AB1303" s="154" t="s">
        <v>114</v>
      </c>
      <c r="AC1303" s="14" t="str">
        <f>HYPERLINK("https://gcsvt.ru/svetodiodnyie-svetilniki/svt-arm-u-595x595x40-38w-pr-sk/","Ссылка")</f>
        <v>Ссылка</v>
      </c>
      <c r="AD1303" s="176" t="s">
        <v>2859</v>
      </c>
    </row>
    <row r="1304" spans="1:30" s="154" customFormat="1" ht="39.950000000000003" hidden="1" customHeight="1" outlineLevel="1" x14ac:dyDescent="0.25">
      <c r="A1304" s="21"/>
      <c r="B1304" s="23" t="s">
        <v>1929</v>
      </c>
      <c r="C1304" s="80" t="s">
        <v>3055</v>
      </c>
      <c r="D1304" s="154">
        <v>5370</v>
      </c>
      <c r="E1304" s="154">
        <v>47</v>
      </c>
      <c r="F1304" s="162">
        <v>114</v>
      </c>
      <c r="G1304" s="154" t="s">
        <v>3068</v>
      </c>
      <c r="H1304" s="154" t="s">
        <v>138</v>
      </c>
      <c r="I1304" s="154">
        <v>20</v>
      </c>
      <c r="J1304" s="154" t="s">
        <v>105</v>
      </c>
      <c r="K1304" s="23" t="s">
        <v>106</v>
      </c>
      <c r="L1304" s="154" t="s">
        <v>3380</v>
      </c>
      <c r="M1304" s="23" t="s">
        <v>2107</v>
      </c>
      <c r="N1304" s="154" t="s">
        <v>67</v>
      </c>
      <c r="O1304" s="23" t="s">
        <v>2131</v>
      </c>
      <c r="P1304" s="154" t="s">
        <v>109</v>
      </c>
      <c r="Q1304" s="23" t="s">
        <v>2288</v>
      </c>
      <c r="R1304" s="154" t="s">
        <v>1324</v>
      </c>
      <c r="S1304" s="154" t="s">
        <v>2789</v>
      </c>
      <c r="T1304" s="154" t="s">
        <v>2786</v>
      </c>
      <c r="U1304" s="154" t="s">
        <v>73</v>
      </c>
      <c r="V1304" s="23" t="s">
        <v>1931</v>
      </c>
      <c r="W1304" s="23" t="s">
        <v>1952</v>
      </c>
      <c r="X1304" s="154" t="s">
        <v>1951</v>
      </c>
      <c r="Y1304" s="154">
        <v>2.3064000000000001E-2</v>
      </c>
      <c r="Z1304" s="154">
        <v>3.19</v>
      </c>
      <c r="AA1304" s="154" t="s">
        <v>1933</v>
      </c>
      <c r="AB1304" s="154" t="s">
        <v>114</v>
      </c>
      <c r="AC1304" s="14" t="str">
        <f>HYPERLINK("https://gcsvt.ru/svetodiodnyie-svetilniki/svt-arm-u-595x595x40-47w-pr-sk/","Ссылка")</f>
        <v>Ссылка</v>
      </c>
      <c r="AD1304" s="176" t="s">
        <v>2859</v>
      </c>
    </row>
    <row r="1305" spans="1:30" s="154" customFormat="1" ht="39.950000000000003" hidden="1" customHeight="1" outlineLevel="1" x14ac:dyDescent="0.25">
      <c r="A1305" s="21"/>
      <c r="B1305" s="23" t="s">
        <v>1614</v>
      </c>
      <c r="C1305" s="80" t="s">
        <v>1924</v>
      </c>
      <c r="D1305" s="154">
        <v>2720</v>
      </c>
      <c r="E1305" s="154">
        <v>29</v>
      </c>
      <c r="F1305" s="162">
        <v>94</v>
      </c>
      <c r="G1305" s="154" t="s">
        <v>1925</v>
      </c>
      <c r="H1305" s="154" t="s">
        <v>138</v>
      </c>
      <c r="I1305" s="154">
        <v>54</v>
      </c>
      <c r="J1305" s="154" t="s">
        <v>389</v>
      </c>
      <c r="K1305" s="23" t="s">
        <v>106</v>
      </c>
      <c r="L1305" s="154" t="s">
        <v>1618</v>
      </c>
      <c r="M1305" s="23" t="s">
        <v>1619</v>
      </c>
      <c r="N1305" s="154" t="s">
        <v>108</v>
      </c>
      <c r="O1305" s="23" t="s">
        <v>1620</v>
      </c>
      <c r="P1305" s="154" t="s">
        <v>109</v>
      </c>
      <c r="Q1305" s="23" t="s">
        <v>1750</v>
      </c>
      <c r="R1305" s="154" t="s">
        <v>1324</v>
      </c>
      <c r="S1305" s="154" t="s">
        <v>1926</v>
      </c>
      <c r="T1305" s="154" t="s">
        <v>569</v>
      </c>
      <c r="U1305" s="154" t="s">
        <v>2007</v>
      </c>
      <c r="V1305" s="23" t="s">
        <v>1622</v>
      </c>
      <c r="W1305" s="23" t="s">
        <v>1623</v>
      </c>
      <c r="X1305" s="154" t="s">
        <v>1912</v>
      </c>
      <c r="Y1305" s="154">
        <v>1.4760000000000001E-2</v>
      </c>
      <c r="Z1305" s="154">
        <v>1.2</v>
      </c>
      <c r="AA1305" s="154" t="s">
        <v>1625</v>
      </c>
      <c r="AB1305" s="154" t="s">
        <v>1626</v>
      </c>
      <c r="AC1305" s="14" t="str">
        <f>HYPERLINK("https://gcsvt.ru/svetodiodnyie-svetilniki/svt-arm-u-air-595x595x34-29w-ip54-pr-4000k-sc/","Ссылка")</f>
        <v>Ссылка</v>
      </c>
      <c r="AD1305" s="176" t="s">
        <v>2859</v>
      </c>
    </row>
    <row r="1306" spans="1:30" s="154" customFormat="1" ht="39.950000000000003" hidden="1" customHeight="1" outlineLevel="1" x14ac:dyDescent="0.25">
      <c r="A1306" s="21"/>
      <c r="B1306" s="23" t="s">
        <v>1614</v>
      </c>
      <c r="C1306" s="80" t="s">
        <v>1927</v>
      </c>
      <c r="D1306" s="154">
        <v>2720</v>
      </c>
      <c r="E1306" s="154">
        <v>29</v>
      </c>
      <c r="F1306" s="162">
        <v>94</v>
      </c>
      <c r="G1306" s="154" t="s">
        <v>1928</v>
      </c>
      <c r="H1306" s="154" t="s">
        <v>138</v>
      </c>
      <c r="I1306" s="154">
        <v>54</v>
      </c>
      <c r="J1306" s="154" t="s">
        <v>389</v>
      </c>
      <c r="K1306" s="23" t="s">
        <v>106</v>
      </c>
      <c r="L1306" s="154" t="s">
        <v>1618</v>
      </c>
      <c r="M1306" s="23" t="s">
        <v>1619</v>
      </c>
      <c r="N1306" s="154" t="s">
        <v>108</v>
      </c>
      <c r="O1306" s="23" t="s">
        <v>1620</v>
      </c>
      <c r="P1306" s="154" t="s">
        <v>109</v>
      </c>
      <c r="Q1306" s="23" t="s">
        <v>1750</v>
      </c>
      <c r="R1306" s="154" t="s">
        <v>1324</v>
      </c>
      <c r="S1306" s="154" t="s">
        <v>1926</v>
      </c>
      <c r="T1306" s="154" t="s">
        <v>569</v>
      </c>
      <c r="U1306" s="154" t="s">
        <v>2007</v>
      </c>
      <c r="V1306" s="23" t="s">
        <v>1622</v>
      </c>
      <c r="W1306" s="23" t="s">
        <v>1623</v>
      </c>
      <c r="X1306" s="154" t="s">
        <v>1624</v>
      </c>
      <c r="Y1306" s="154">
        <v>1.4760000000000001E-2</v>
      </c>
      <c r="Z1306" s="154">
        <v>1.2</v>
      </c>
      <c r="AA1306" s="154" t="s">
        <v>1625</v>
      </c>
      <c r="AB1306" s="154" t="s">
        <v>1626</v>
      </c>
      <c r="AC1306" s="14" t="str">
        <f>HYPERLINK("https://gcsvt.ru/svetodiodnyie-svetilniki/svt-arm-u-air-1195x200x34-29w-ip54-pr-4000k-sc/","Ссылка")</f>
        <v>Ссылка</v>
      </c>
      <c r="AD1306" s="176" t="s">
        <v>2859</v>
      </c>
    </row>
    <row r="1307" spans="1:30" s="154" customFormat="1" ht="39.950000000000003" hidden="1" customHeight="1" outlineLevel="1" x14ac:dyDescent="0.25">
      <c r="A1307" s="21"/>
      <c r="B1307" s="23" t="s">
        <v>1614</v>
      </c>
      <c r="C1307" s="80" t="s">
        <v>3056</v>
      </c>
      <c r="D1307" s="154">
        <v>2720</v>
      </c>
      <c r="E1307" s="154">
        <v>29</v>
      </c>
      <c r="F1307" s="162">
        <v>94</v>
      </c>
      <c r="G1307" s="154" t="s">
        <v>3069</v>
      </c>
      <c r="H1307" s="154" t="s">
        <v>1617</v>
      </c>
      <c r="I1307" s="154">
        <v>54</v>
      </c>
      <c r="J1307" s="23" t="s">
        <v>1637</v>
      </c>
      <c r="K1307" s="23" t="s">
        <v>106</v>
      </c>
      <c r="L1307" s="154" t="s">
        <v>1618</v>
      </c>
      <c r="M1307" s="23" t="s">
        <v>1685</v>
      </c>
      <c r="N1307" s="154" t="s">
        <v>108</v>
      </c>
      <c r="O1307" s="23" t="s">
        <v>1620</v>
      </c>
      <c r="P1307" s="154" t="s">
        <v>109</v>
      </c>
      <c r="Q1307" s="23" t="s">
        <v>2288</v>
      </c>
      <c r="R1307" s="154" t="s">
        <v>1324</v>
      </c>
      <c r="S1307" s="154" t="s">
        <v>1621</v>
      </c>
      <c r="T1307" s="154" t="s">
        <v>141</v>
      </c>
      <c r="U1307" s="154" t="s">
        <v>2007</v>
      </c>
      <c r="V1307" s="23" t="s">
        <v>1622</v>
      </c>
      <c r="W1307" s="23" t="s">
        <v>1623</v>
      </c>
      <c r="X1307" s="154" t="s">
        <v>1912</v>
      </c>
      <c r="Y1307" s="154">
        <v>1.4760000000000001E-2</v>
      </c>
      <c r="Z1307" s="154">
        <v>1.3</v>
      </c>
      <c r="AA1307" s="154" t="s">
        <v>1625</v>
      </c>
      <c r="AB1307" s="154" t="s">
        <v>1626</v>
      </c>
      <c r="AC1307" s="14" t="str">
        <f>HYPERLINK("https://gcsvt.ru/svetodiodnyie-svetilniki/svt-arm-u-air-595x595x34-29w-pr-inbat-ip54-sk/","Ссылка")</f>
        <v>Ссылка</v>
      </c>
      <c r="AD1307" s="176" t="s">
        <v>2859</v>
      </c>
    </row>
    <row r="1308" spans="1:30" s="154" customFormat="1" ht="39.950000000000003" hidden="1" customHeight="1" outlineLevel="1" x14ac:dyDescent="0.25">
      <c r="A1308" s="21"/>
      <c r="B1308" s="23" t="s">
        <v>1614</v>
      </c>
      <c r="C1308" s="80" t="s">
        <v>3057</v>
      </c>
      <c r="D1308" s="154">
        <v>2720</v>
      </c>
      <c r="E1308" s="154">
        <v>29</v>
      </c>
      <c r="F1308" s="162">
        <v>94</v>
      </c>
      <c r="G1308" s="154" t="s">
        <v>3070</v>
      </c>
      <c r="H1308" s="154" t="s">
        <v>1617</v>
      </c>
      <c r="I1308" s="154">
        <v>54</v>
      </c>
      <c r="J1308" s="23" t="s">
        <v>1637</v>
      </c>
      <c r="K1308" s="23" t="s">
        <v>106</v>
      </c>
      <c r="L1308" s="154" t="s">
        <v>1618</v>
      </c>
      <c r="M1308" s="23" t="s">
        <v>1685</v>
      </c>
      <c r="N1308" s="154" t="s">
        <v>108</v>
      </c>
      <c r="O1308" s="23" t="s">
        <v>1620</v>
      </c>
      <c r="P1308" s="154" t="s">
        <v>109</v>
      </c>
      <c r="Q1308" s="23" t="s">
        <v>2288</v>
      </c>
      <c r="R1308" s="154" t="s">
        <v>1324</v>
      </c>
      <c r="S1308" s="154" t="s">
        <v>1621</v>
      </c>
      <c r="T1308" s="154" t="s">
        <v>141</v>
      </c>
      <c r="U1308" s="154" t="s">
        <v>2007</v>
      </c>
      <c r="V1308" s="23" t="s">
        <v>1622</v>
      </c>
      <c r="W1308" s="23" t="s">
        <v>1623</v>
      </c>
      <c r="X1308" s="154" t="s">
        <v>1624</v>
      </c>
      <c r="Y1308" s="154">
        <v>1.4760000000000001E-2</v>
      </c>
      <c r="Z1308" s="154">
        <v>1.2</v>
      </c>
      <c r="AA1308" s="154" t="s">
        <v>1625</v>
      </c>
      <c r="AB1308" s="154" t="s">
        <v>1626</v>
      </c>
      <c r="AC1308" s="14" t="str">
        <f>HYPERLINK("https://gcsvt.ru/svetodiodnyie-svetilniki/svt-arm-u-air-1195x200x34-29w-ip54-pr-inbat-sk/","Ссылка")</f>
        <v>Ссылка</v>
      </c>
      <c r="AD1308" s="176" t="s">
        <v>2859</v>
      </c>
    </row>
    <row r="1309" spans="1:30" s="154" customFormat="1" ht="39.950000000000003" hidden="1" customHeight="1" outlineLevel="1" x14ac:dyDescent="0.25">
      <c r="A1309" s="21"/>
      <c r="B1309" s="23" t="s">
        <v>2273</v>
      </c>
      <c r="C1309" s="80" t="s">
        <v>3058</v>
      </c>
      <c r="D1309" s="154">
        <v>2550</v>
      </c>
      <c r="E1309" s="154">
        <v>30</v>
      </c>
      <c r="F1309" s="162">
        <v>85</v>
      </c>
      <c r="G1309" s="154" t="s">
        <v>3071</v>
      </c>
      <c r="H1309" s="154" t="s">
        <v>138</v>
      </c>
      <c r="I1309" s="154">
        <v>20</v>
      </c>
      <c r="J1309" s="23" t="s">
        <v>1637</v>
      </c>
      <c r="K1309" s="23" t="s">
        <v>106</v>
      </c>
      <c r="L1309" s="154" t="s">
        <v>3380</v>
      </c>
      <c r="M1309" s="23" t="s">
        <v>1685</v>
      </c>
      <c r="N1309" s="154" t="s">
        <v>67</v>
      </c>
      <c r="O1309" s="23" t="s">
        <v>1930</v>
      </c>
      <c r="P1309" s="154" t="s">
        <v>109</v>
      </c>
      <c r="Q1309" s="23" t="s">
        <v>2288</v>
      </c>
      <c r="R1309" s="154" t="s">
        <v>1324</v>
      </c>
      <c r="S1309" s="154" t="s">
        <v>1691</v>
      </c>
      <c r="T1309" s="154" t="s">
        <v>1768</v>
      </c>
      <c r="U1309" s="154" t="s">
        <v>2007</v>
      </c>
      <c r="V1309" s="23" t="s">
        <v>2276</v>
      </c>
      <c r="W1309" s="23" t="s">
        <v>1952</v>
      </c>
      <c r="X1309" s="154" t="s">
        <v>1951</v>
      </c>
      <c r="Y1309" s="154">
        <v>2.3064000000000001E-2</v>
      </c>
      <c r="Z1309" s="154">
        <v>3.19</v>
      </c>
      <c r="AA1309" s="154" t="s">
        <v>1639</v>
      </c>
      <c r="AB1309" s="154" t="s">
        <v>114</v>
      </c>
      <c r="AC1309" s="14" t="str">
        <f>HYPERLINK("https://gcsvt.ru/svetodiodnyie-svetilniki/svt-arm-u-595x595x40-30w-pr-inbat-2h-sk/","Ссылка")</f>
        <v>Ссылка</v>
      </c>
      <c r="AD1309" s="176" t="s">
        <v>2859</v>
      </c>
    </row>
    <row r="1310" spans="1:30" s="154" customFormat="1" ht="39.950000000000003" hidden="1" customHeight="1" outlineLevel="1" x14ac:dyDescent="0.25">
      <c r="A1310" s="21"/>
      <c r="B1310" s="23" t="s">
        <v>1981</v>
      </c>
      <c r="C1310" s="80" t="s">
        <v>3059</v>
      </c>
      <c r="D1310" s="154">
        <v>2550</v>
      </c>
      <c r="E1310" s="154">
        <v>30</v>
      </c>
      <c r="F1310" s="162">
        <v>85</v>
      </c>
      <c r="G1310" s="154" t="s">
        <v>3072</v>
      </c>
      <c r="H1310" s="154" t="s">
        <v>138</v>
      </c>
      <c r="I1310" s="154">
        <v>20</v>
      </c>
      <c r="J1310" s="154" t="s">
        <v>105</v>
      </c>
      <c r="K1310" s="23" t="s">
        <v>106</v>
      </c>
      <c r="L1310" s="154" t="s">
        <v>1618</v>
      </c>
      <c r="M1310" s="23" t="s">
        <v>2107</v>
      </c>
      <c r="N1310" s="154" t="s">
        <v>67</v>
      </c>
      <c r="O1310" s="23" t="s">
        <v>1630</v>
      </c>
      <c r="P1310" s="154" t="s">
        <v>109</v>
      </c>
      <c r="Q1310" s="23" t="s">
        <v>1941</v>
      </c>
      <c r="R1310" s="154" t="s">
        <v>1324</v>
      </c>
      <c r="S1310" s="154" t="s">
        <v>1986</v>
      </c>
      <c r="T1310" s="154" t="s">
        <v>1987</v>
      </c>
      <c r="U1310" s="154" t="s">
        <v>2007</v>
      </c>
      <c r="V1310" s="23" t="s">
        <v>1988</v>
      </c>
      <c r="W1310" s="23" t="s">
        <v>1989</v>
      </c>
      <c r="X1310" s="154" t="s">
        <v>1990</v>
      </c>
      <c r="Y1310" s="154">
        <v>0.01</v>
      </c>
      <c r="Z1310" s="154">
        <v>0.5</v>
      </c>
      <c r="AA1310" s="154" t="s">
        <v>1933</v>
      </c>
      <c r="AB1310" s="154" t="s">
        <v>114</v>
      </c>
      <c r="AC1310" s="14" t="str">
        <f>HYPERLINK("https://gcsvt.ru/svetodiodnyie-svetilniki/svt-off-dl-30w-4000k-sk/","Ссылка")</f>
        <v>Ссылка</v>
      </c>
      <c r="AD1310" s="176" t="s">
        <v>2859</v>
      </c>
    </row>
    <row r="1311" spans="1:30" s="154" customFormat="1" ht="39.950000000000003" hidden="1" customHeight="1" outlineLevel="1" x14ac:dyDescent="0.25">
      <c r="A1311" s="21"/>
      <c r="B1311" s="23" t="s">
        <v>2277</v>
      </c>
      <c r="C1311" s="80" t="s">
        <v>3060</v>
      </c>
      <c r="D1311" s="154">
        <v>600</v>
      </c>
      <c r="E1311" s="154">
        <v>6</v>
      </c>
      <c r="F1311" s="162">
        <v>100</v>
      </c>
      <c r="G1311" s="154" t="s">
        <v>3073</v>
      </c>
      <c r="I1311" s="154">
        <v>40</v>
      </c>
      <c r="J1311" s="23" t="s">
        <v>2325</v>
      </c>
      <c r="K1311" s="23" t="s">
        <v>1718</v>
      </c>
      <c r="L1311" s="154" t="s">
        <v>1618</v>
      </c>
      <c r="M1311" s="23" t="s">
        <v>2279</v>
      </c>
      <c r="N1311" s="154" t="s">
        <v>67</v>
      </c>
      <c r="O1311" s="23" t="s">
        <v>1630</v>
      </c>
      <c r="P1311" s="154" t="s">
        <v>109</v>
      </c>
      <c r="Q1311" s="23" t="s">
        <v>1720</v>
      </c>
      <c r="R1311" s="154">
        <v>80</v>
      </c>
      <c r="S1311" s="154" t="s">
        <v>2280</v>
      </c>
      <c r="T1311" s="154" t="s">
        <v>2143</v>
      </c>
      <c r="U1311" s="154" t="s">
        <v>2007</v>
      </c>
      <c r="V1311" s="23" t="s">
        <v>1632</v>
      </c>
      <c r="W1311" s="23" t="s">
        <v>2795</v>
      </c>
      <c r="X1311" s="154" t="s">
        <v>2281</v>
      </c>
      <c r="Y1311" s="154">
        <v>0.01</v>
      </c>
      <c r="Z1311" s="154">
        <v>1.3</v>
      </c>
      <c r="AA1311" s="154" t="s">
        <v>1639</v>
      </c>
      <c r="AB1311" s="154" t="s">
        <v>114</v>
      </c>
      <c r="AC1311" s="14" t="str">
        <f>HYPERLINK("https://gcsvt.ru/svetodiodnyie-svetilniki/svt-off-em-6w-1h-sk-bez-piktogrammy/","Ссылка")</f>
        <v>Ссылка</v>
      </c>
      <c r="AD1311" s="162">
        <v>7253</v>
      </c>
    </row>
    <row r="1312" spans="1:30" s="154" customFormat="1" ht="39.950000000000003" hidden="1" customHeight="1" outlineLevel="1" x14ac:dyDescent="0.25">
      <c r="A1312" s="21"/>
      <c r="B1312" s="23" t="s">
        <v>1686</v>
      </c>
      <c r="C1312" s="80" t="s">
        <v>3386</v>
      </c>
      <c r="D1312" s="154">
        <v>1224</v>
      </c>
      <c r="E1312" s="154">
        <v>18</v>
      </c>
      <c r="F1312" s="154">
        <v>68</v>
      </c>
      <c r="G1312" s="154" t="s">
        <v>3389</v>
      </c>
      <c r="H1312" s="154" t="s">
        <v>138</v>
      </c>
      <c r="I1312" s="154">
        <v>65</v>
      </c>
      <c r="J1312" s="154" t="s">
        <v>389</v>
      </c>
      <c r="K1312" s="23" t="s">
        <v>106</v>
      </c>
      <c r="L1312" s="154" t="s">
        <v>3380</v>
      </c>
      <c r="M1312" s="23" t="s">
        <v>3387</v>
      </c>
      <c r="N1312" s="154" t="s">
        <v>67</v>
      </c>
      <c r="O1312" s="23" t="s">
        <v>1630</v>
      </c>
      <c r="P1312" s="154" t="s">
        <v>109</v>
      </c>
      <c r="Q1312" s="23" t="s">
        <v>70</v>
      </c>
      <c r="R1312" s="154" t="s">
        <v>1324</v>
      </c>
      <c r="S1312" s="154" t="s">
        <v>3385</v>
      </c>
      <c r="T1312" s="154" t="s">
        <v>141</v>
      </c>
      <c r="U1312" s="154" t="s">
        <v>73</v>
      </c>
      <c r="V1312" s="23" t="s">
        <v>1632</v>
      </c>
      <c r="W1312" s="23" t="s">
        <v>1633</v>
      </c>
      <c r="X1312" s="154" t="s">
        <v>3384</v>
      </c>
      <c r="Y1312" s="154">
        <v>5.4599999999999996E-3</v>
      </c>
      <c r="Z1312" s="154">
        <v>0.8</v>
      </c>
      <c r="AA1312" s="154" t="s">
        <v>1639</v>
      </c>
      <c r="AB1312" s="154" t="s">
        <v>114</v>
      </c>
      <c r="AC1312" s="14" t="str">
        <f>HYPERLINK("https://gcsvt.ru/svetodiodnyie-svetilniki/svt-p-i-v2-400-18w-ip65-m-inbat-2h-sk/","Ссылка")</f>
        <v>Ссылка</v>
      </c>
      <c r="AD1312" s="176" t="s">
        <v>2859</v>
      </c>
    </row>
    <row r="1313" spans="1:30" s="161" customFormat="1" ht="39.950000000000003" customHeight="1" x14ac:dyDescent="0.25">
      <c r="A1313" s="207" t="s">
        <v>4004</v>
      </c>
      <c r="B1313" s="182"/>
      <c r="C1313" s="183"/>
      <c r="D1313" s="183"/>
      <c r="E1313" s="183"/>
      <c r="F1313" s="183"/>
      <c r="G1313" s="183"/>
      <c r="H1313" s="183"/>
      <c r="I1313" s="183"/>
      <c r="J1313" s="183"/>
      <c r="K1313" s="113"/>
      <c r="L1313" s="174"/>
      <c r="M1313" s="113"/>
      <c r="N1313" s="174"/>
      <c r="O1313" s="113"/>
      <c r="P1313" s="174"/>
      <c r="Q1313" s="113"/>
      <c r="R1313" s="174"/>
      <c r="S1313" s="174"/>
      <c r="T1313" s="174"/>
      <c r="U1313" s="174"/>
      <c r="V1313" s="113"/>
      <c r="W1313" s="113"/>
      <c r="X1313" s="174"/>
      <c r="Y1313" s="174"/>
      <c r="Z1313" s="174"/>
      <c r="AA1313" s="174"/>
      <c r="AB1313" s="174"/>
      <c r="AC1313" s="224"/>
      <c r="AD1313" s="175"/>
    </row>
    <row r="1314" spans="1:30" s="12" customFormat="1" ht="39.950000000000003" customHeight="1" collapsed="1" x14ac:dyDescent="0.25">
      <c r="A1314" s="4"/>
      <c r="B1314" s="195" t="s">
        <v>4006</v>
      </c>
      <c r="C1314" s="202"/>
      <c r="D1314" s="69"/>
      <c r="E1314" s="69"/>
      <c r="F1314" s="69"/>
      <c r="G1314" s="69"/>
      <c r="H1314" s="69"/>
      <c r="I1314" s="69"/>
      <c r="J1314" s="69"/>
      <c r="K1314" s="68"/>
      <c r="L1314" s="69"/>
      <c r="M1314" s="68"/>
      <c r="N1314" s="69"/>
      <c r="O1314" s="68"/>
      <c r="P1314" s="69"/>
      <c r="Q1314" s="68"/>
      <c r="R1314" s="69"/>
      <c r="S1314" s="69"/>
      <c r="T1314" s="69"/>
      <c r="U1314" s="69"/>
      <c r="V1314" s="68"/>
      <c r="W1314" s="68"/>
      <c r="X1314" s="69"/>
      <c r="Y1314" s="69"/>
      <c r="Z1314" s="69"/>
      <c r="AA1314" s="69"/>
      <c r="AB1314" s="69"/>
      <c r="AC1314" s="227"/>
      <c r="AD1314" s="87"/>
    </row>
    <row r="1315" spans="1:30" s="12" customFormat="1" ht="39.950000000000003" hidden="1" customHeight="1" outlineLevel="1" x14ac:dyDescent="0.25">
      <c r="A1315" s="5"/>
      <c r="B1315" s="23" t="s">
        <v>2303</v>
      </c>
      <c r="C1315" s="80" t="s">
        <v>2304</v>
      </c>
      <c r="D1315" s="12" t="s">
        <v>2305</v>
      </c>
      <c r="E1315" s="12">
        <v>32</v>
      </c>
      <c r="G1315" s="12" t="s">
        <v>2306</v>
      </c>
      <c r="H1315" s="12" t="s">
        <v>138</v>
      </c>
      <c r="I1315" s="12">
        <v>67</v>
      </c>
      <c r="J1315" s="12" t="s">
        <v>105</v>
      </c>
      <c r="K1315" s="1" t="s">
        <v>106</v>
      </c>
      <c r="L1315" s="12" t="s">
        <v>3380</v>
      </c>
      <c r="M1315" s="1" t="s">
        <v>107</v>
      </c>
      <c r="N1315" s="12" t="s">
        <v>108</v>
      </c>
      <c r="O1315" s="1" t="s">
        <v>139</v>
      </c>
      <c r="P1315" s="12" t="s">
        <v>109</v>
      </c>
      <c r="Q1315" s="1" t="s">
        <v>2307</v>
      </c>
      <c r="S1315" s="12" t="s">
        <v>2308</v>
      </c>
      <c r="T1315" s="12" t="s">
        <v>141</v>
      </c>
      <c r="U1315" s="12" t="s">
        <v>73</v>
      </c>
      <c r="V1315" s="1" t="s">
        <v>74</v>
      </c>
      <c r="W1315" s="1" t="s">
        <v>2309</v>
      </c>
      <c r="X1315" s="12" t="s">
        <v>2144</v>
      </c>
      <c r="Y1315" s="12">
        <v>5.3949999999999996E-3</v>
      </c>
      <c r="Z1315" s="12">
        <v>0.8</v>
      </c>
      <c r="AA1315" s="12" t="s">
        <v>77</v>
      </c>
      <c r="AB1315" s="12" t="s">
        <v>114</v>
      </c>
      <c r="AC1315" s="14" t="str">
        <f>HYPERLINK("https://gcsvt.ru/svetodiodnyie-svetilniki/svt-rnd-fito-m-32w-s-zashchitoy-ot-380/","Ссылка")</f>
        <v>Ссылка</v>
      </c>
      <c r="AD1315" s="86">
        <v>7270</v>
      </c>
    </row>
    <row r="1316" spans="1:30" s="12" customFormat="1" ht="39.950000000000003" hidden="1" customHeight="1" outlineLevel="1" x14ac:dyDescent="0.25">
      <c r="A1316" s="5"/>
      <c r="B1316" s="23" t="s">
        <v>2303</v>
      </c>
      <c r="C1316" s="80" t="s">
        <v>2310</v>
      </c>
      <c r="D1316" s="12" t="s">
        <v>2311</v>
      </c>
      <c r="E1316" s="12">
        <v>48</v>
      </c>
      <c r="G1316" s="12" t="s">
        <v>2312</v>
      </c>
      <c r="H1316" s="12" t="s">
        <v>138</v>
      </c>
      <c r="I1316" s="12">
        <v>67</v>
      </c>
      <c r="J1316" s="12" t="s">
        <v>105</v>
      </c>
      <c r="K1316" s="1" t="s">
        <v>106</v>
      </c>
      <c r="L1316" s="12" t="s">
        <v>3380</v>
      </c>
      <c r="M1316" s="1" t="s">
        <v>107</v>
      </c>
      <c r="N1316" s="12" t="s">
        <v>108</v>
      </c>
      <c r="O1316" s="1" t="s">
        <v>139</v>
      </c>
      <c r="P1316" s="12" t="s">
        <v>109</v>
      </c>
      <c r="Q1316" s="1" t="s">
        <v>2307</v>
      </c>
      <c r="S1316" s="12" t="s">
        <v>2313</v>
      </c>
      <c r="T1316" s="12" t="s">
        <v>141</v>
      </c>
      <c r="U1316" s="12" t="s">
        <v>73</v>
      </c>
      <c r="V1316" s="1" t="s">
        <v>74</v>
      </c>
      <c r="W1316" s="1" t="s">
        <v>2309</v>
      </c>
      <c r="X1316" s="12" t="s">
        <v>2298</v>
      </c>
      <c r="Y1316" s="12">
        <v>5.3949999999999996E-3</v>
      </c>
      <c r="Z1316" s="12">
        <v>1</v>
      </c>
      <c r="AA1316" s="12" t="s">
        <v>77</v>
      </c>
      <c r="AB1316" s="12" t="s">
        <v>114</v>
      </c>
      <c r="AC1316" s="14" t="str">
        <f>HYPERLINK("https://gcsvt.ru/svetodiodnyie-svetilniki/svt-rnd-fito-m-48w-s-zashchitoy-ot-380/","Ссылка")</f>
        <v>Ссылка</v>
      </c>
      <c r="AD1316" s="86">
        <v>8968</v>
      </c>
    </row>
    <row r="1317" spans="1:30" s="12" customFormat="1" ht="39.950000000000003" hidden="1" customHeight="1" outlineLevel="1" x14ac:dyDescent="0.25">
      <c r="A1317" s="5"/>
      <c r="B1317" s="23" t="s">
        <v>2303</v>
      </c>
      <c r="C1317" s="80" t="s">
        <v>2314</v>
      </c>
      <c r="D1317" s="12" t="s">
        <v>2315</v>
      </c>
      <c r="E1317" s="12">
        <v>61</v>
      </c>
      <c r="G1317" s="12" t="s">
        <v>2316</v>
      </c>
      <c r="H1317" s="12" t="s">
        <v>138</v>
      </c>
      <c r="I1317" s="12">
        <v>67</v>
      </c>
      <c r="J1317" s="12" t="s">
        <v>105</v>
      </c>
      <c r="K1317" s="1" t="s">
        <v>106</v>
      </c>
      <c r="L1317" s="12" t="s">
        <v>3380</v>
      </c>
      <c r="M1317" s="1" t="s">
        <v>107</v>
      </c>
      <c r="N1317" s="12" t="s">
        <v>108</v>
      </c>
      <c r="O1317" s="1" t="s">
        <v>139</v>
      </c>
      <c r="P1317" s="12" t="s">
        <v>109</v>
      </c>
      <c r="Q1317" s="1" t="s">
        <v>2307</v>
      </c>
      <c r="S1317" s="12" t="s">
        <v>2317</v>
      </c>
      <c r="T1317" s="12" t="s">
        <v>141</v>
      </c>
      <c r="U1317" s="12" t="s">
        <v>73</v>
      </c>
      <c r="V1317" s="1" t="s">
        <v>74</v>
      </c>
      <c r="W1317" s="1" t="s">
        <v>2309</v>
      </c>
      <c r="X1317" s="12" t="s">
        <v>2318</v>
      </c>
      <c r="Y1317" s="12">
        <v>5.3949999999999996E-3</v>
      </c>
      <c r="Z1317" s="12">
        <v>1</v>
      </c>
      <c r="AA1317" s="12" t="s">
        <v>77</v>
      </c>
      <c r="AB1317" s="12" t="s">
        <v>114</v>
      </c>
      <c r="AC1317" s="14" t="str">
        <f>HYPERLINK("https://gcsvt.ru/svetodiodnyie-svetilniki/svt-rnd-fito-m-61w-s-zashchitoy-ot-380/","Ссылка")</f>
        <v>Ссылка</v>
      </c>
      <c r="AD1317" s="86">
        <v>10554</v>
      </c>
    </row>
    <row r="1318" spans="1:30" s="12" customFormat="1" ht="39.950000000000003" hidden="1" customHeight="1" outlineLevel="1" x14ac:dyDescent="0.25">
      <c r="A1318" s="5"/>
      <c r="B1318" s="23" t="s">
        <v>2303</v>
      </c>
      <c r="C1318" s="80" t="s">
        <v>2319</v>
      </c>
      <c r="D1318" s="12" t="s">
        <v>2320</v>
      </c>
      <c r="E1318" s="12">
        <v>96</v>
      </c>
      <c r="G1318" s="12" t="s">
        <v>2321</v>
      </c>
      <c r="H1318" s="12" t="s">
        <v>138</v>
      </c>
      <c r="I1318" s="12">
        <v>67</v>
      </c>
      <c r="J1318" s="12" t="s">
        <v>105</v>
      </c>
      <c r="K1318" s="1" t="s">
        <v>106</v>
      </c>
      <c r="L1318" s="12" t="s">
        <v>3380</v>
      </c>
      <c r="M1318" s="1" t="s">
        <v>157</v>
      </c>
      <c r="N1318" s="12" t="s">
        <v>67</v>
      </c>
      <c r="O1318" s="1" t="s">
        <v>139</v>
      </c>
      <c r="P1318" s="12" t="s">
        <v>109</v>
      </c>
      <c r="Q1318" s="1" t="s">
        <v>2307</v>
      </c>
      <c r="S1318" s="12" t="s">
        <v>2322</v>
      </c>
      <c r="T1318" s="12" t="s">
        <v>141</v>
      </c>
      <c r="U1318" s="12" t="s">
        <v>73</v>
      </c>
      <c r="V1318" s="1" t="s">
        <v>74</v>
      </c>
      <c r="W1318" s="1" t="s">
        <v>2309</v>
      </c>
      <c r="X1318" s="12" t="s">
        <v>2323</v>
      </c>
      <c r="Y1318" s="12">
        <v>7.6049999999999998E-3</v>
      </c>
      <c r="Z1318" s="12">
        <v>1.9</v>
      </c>
      <c r="AA1318" s="12" t="s">
        <v>77</v>
      </c>
      <c r="AB1318" s="12" t="s">
        <v>114</v>
      </c>
      <c r="AC1318" s="14" t="str">
        <f>HYPERLINK("https://gcsvt.ru/svetodiodnyie-svetilniki/svt-rnd-fito-m-96w/","Ссылка")</f>
        <v>Ссылка</v>
      </c>
      <c r="AD1318" s="86">
        <v>16286</v>
      </c>
    </row>
    <row r="1319" spans="1:30" s="12" customFormat="1" ht="39.950000000000003" customHeight="1" collapsed="1" x14ac:dyDescent="0.25">
      <c r="A1319" s="5"/>
      <c r="B1319" s="195" t="s">
        <v>4454</v>
      </c>
      <c r="C1319" s="202"/>
      <c r="D1319" s="69"/>
      <c r="E1319" s="69"/>
      <c r="F1319" s="69"/>
      <c r="G1319" s="69"/>
      <c r="H1319" s="69"/>
      <c r="I1319" s="69"/>
      <c r="J1319" s="69"/>
      <c r="K1319" s="68"/>
      <c r="L1319" s="69"/>
      <c r="M1319" s="68"/>
      <c r="N1319" s="69"/>
      <c r="O1319" s="68"/>
      <c r="P1319" s="69"/>
      <c r="Q1319" s="68"/>
      <c r="R1319" s="69"/>
      <c r="S1319" s="69"/>
      <c r="T1319" s="69"/>
      <c r="U1319" s="69"/>
      <c r="V1319" s="68"/>
      <c r="W1319" s="68"/>
      <c r="X1319" s="69"/>
      <c r="Y1319" s="69"/>
      <c r="Z1319" s="69"/>
      <c r="AA1319" s="69"/>
      <c r="AB1319" s="69"/>
      <c r="AC1319" s="227"/>
      <c r="AD1319" s="87"/>
    </row>
    <row r="1320" spans="1:30" s="12" customFormat="1" ht="39.950000000000003" hidden="1" customHeight="1" outlineLevel="1" x14ac:dyDescent="0.25">
      <c r="A1320" s="5"/>
      <c r="B1320" s="23" t="s">
        <v>2324</v>
      </c>
      <c r="C1320" s="80" t="s">
        <v>4455</v>
      </c>
      <c r="D1320" s="12">
        <v>1290</v>
      </c>
      <c r="E1320" s="12">
        <v>9</v>
      </c>
      <c r="F1320" s="12">
        <v>143</v>
      </c>
      <c r="G1320" s="12" t="s">
        <v>4457</v>
      </c>
      <c r="H1320" s="12" t="s">
        <v>138</v>
      </c>
      <c r="I1320" s="12">
        <v>67</v>
      </c>
      <c r="J1320" s="12" t="s">
        <v>389</v>
      </c>
      <c r="K1320" s="21" t="s">
        <v>106</v>
      </c>
      <c r="L1320" s="161" t="s">
        <v>3380</v>
      </c>
      <c r="M1320" s="21" t="s">
        <v>568</v>
      </c>
      <c r="N1320" s="161" t="s">
        <v>108</v>
      </c>
      <c r="O1320" s="21" t="s">
        <v>139</v>
      </c>
      <c r="P1320" s="161" t="s">
        <v>109</v>
      </c>
      <c r="Q1320" s="21" t="s">
        <v>70</v>
      </c>
      <c r="R1320" s="161">
        <v>80</v>
      </c>
      <c r="S1320" s="12" t="s">
        <v>4459</v>
      </c>
      <c r="T1320" s="12" t="s">
        <v>1987</v>
      </c>
      <c r="U1320" s="161" t="s">
        <v>73</v>
      </c>
      <c r="V1320" s="21" t="s">
        <v>74</v>
      </c>
      <c r="W1320" s="21" t="s">
        <v>112</v>
      </c>
      <c r="X1320" s="12" t="s">
        <v>4460</v>
      </c>
      <c r="Y1320" s="161">
        <v>0.1</v>
      </c>
      <c r="Z1320" s="161">
        <v>0.7</v>
      </c>
      <c r="AA1320" s="12" t="s">
        <v>77</v>
      </c>
      <c r="AB1320" s="12" t="s">
        <v>114</v>
      </c>
      <c r="AC1320" s="14" t="str">
        <f>HYPERLINK("https://gcsvt.ru/svetodiodnyie-svetilniki/svt-str-m-10w/","Ссылка")</f>
        <v>Ссылка</v>
      </c>
      <c r="AD1320" s="86">
        <v>3205</v>
      </c>
    </row>
    <row r="1321" spans="1:30" s="12" customFormat="1" ht="39.950000000000003" hidden="1" customHeight="1" outlineLevel="1" x14ac:dyDescent="0.25">
      <c r="A1321" s="5"/>
      <c r="B1321" s="23" t="s">
        <v>2324</v>
      </c>
      <c r="C1321" s="80" t="s">
        <v>4456</v>
      </c>
      <c r="D1321" s="12">
        <v>2310</v>
      </c>
      <c r="E1321" s="12">
        <v>19</v>
      </c>
      <c r="F1321" s="12">
        <v>122</v>
      </c>
      <c r="G1321" s="12" t="s">
        <v>4458</v>
      </c>
      <c r="H1321" s="12" t="s">
        <v>138</v>
      </c>
      <c r="I1321" s="12">
        <v>67</v>
      </c>
      <c r="J1321" s="12" t="s">
        <v>389</v>
      </c>
      <c r="K1321" s="21" t="s">
        <v>106</v>
      </c>
      <c r="L1321" s="161" t="s">
        <v>3380</v>
      </c>
      <c r="M1321" s="21" t="s">
        <v>568</v>
      </c>
      <c r="N1321" s="161" t="s">
        <v>108</v>
      </c>
      <c r="O1321" s="21" t="s">
        <v>139</v>
      </c>
      <c r="P1321" s="161" t="s">
        <v>109</v>
      </c>
      <c r="Q1321" s="21" t="s">
        <v>70</v>
      </c>
      <c r="R1321" s="161">
        <v>80</v>
      </c>
      <c r="S1321" s="12" t="s">
        <v>4459</v>
      </c>
      <c r="T1321" s="12" t="s">
        <v>1555</v>
      </c>
      <c r="U1321" s="161" t="s">
        <v>73</v>
      </c>
      <c r="V1321" s="21" t="s">
        <v>74</v>
      </c>
      <c r="W1321" s="21" t="s">
        <v>112</v>
      </c>
      <c r="X1321" s="12" t="s">
        <v>4460</v>
      </c>
      <c r="Y1321" s="161">
        <v>0.1</v>
      </c>
      <c r="Z1321" s="161">
        <v>0.7</v>
      </c>
      <c r="AA1321" s="12" t="s">
        <v>77</v>
      </c>
      <c r="AB1321" s="12" t="s">
        <v>114</v>
      </c>
      <c r="AC1321" s="14" t="str">
        <f>HYPERLINK("https://gcsvt.ru/svetodiodnyie-svetilniki/svt-str-m-20w/","Ссылка")</f>
        <v>Ссылка</v>
      </c>
      <c r="AD1321" s="86">
        <v>3205</v>
      </c>
    </row>
    <row r="1322" spans="1:30" s="12" customFormat="1" ht="39.950000000000003" hidden="1" customHeight="1" outlineLevel="1" x14ac:dyDescent="0.25">
      <c r="A1322" s="5"/>
      <c r="B1322" s="23" t="s">
        <v>2324</v>
      </c>
      <c r="C1322" s="80" t="s">
        <v>2700</v>
      </c>
      <c r="D1322" s="12">
        <v>970</v>
      </c>
      <c r="E1322" s="12">
        <v>12</v>
      </c>
      <c r="F1322" s="12">
        <v>80</v>
      </c>
      <c r="G1322" s="12" t="s">
        <v>2328</v>
      </c>
      <c r="H1322" s="12" t="s">
        <v>138</v>
      </c>
      <c r="I1322" s="12">
        <v>65</v>
      </c>
      <c r="J1322" s="12" t="s">
        <v>2325</v>
      </c>
      <c r="K1322" s="1" t="s">
        <v>1718</v>
      </c>
      <c r="L1322" s="12">
        <v>0.5</v>
      </c>
      <c r="M1322" s="1" t="s">
        <v>2326</v>
      </c>
      <c r="O1322" s="1" t="s">
        <v>1630</v>
      </c>
      <c r="P1322" s="12" t="s">
        <v>109</v>
      </c>
      <c r="Q1322" s="1" t="s">
        <v>1750</v>
      </c>
      <c r="R1322" s="12">
        <v>80</v>
      </c>
      <c r="S1322" s="12" t="s">
        <v>3090</v>
      </c>
      <c r="U1322" s="12" t="s">
        <v>73</v>
      </c>
      <c r="V1322" s="1" t="s">
        <v>1622</v>
      </c>
      <c r="W1322" s="1" t="s">
        <v>2327</v>
      </c>
      <c r="X1322" s="12" t="s">
        <v>2329</v>
      </c>
      <c r="Y1322" s="12">
        <v>5.4599999999999996E-3</v>
      </c>
      <c r="Z1322" s="12">
        <v>0.3</v>
      </c>
      <c r="AA1322" s="12" t="s">
        <v>77</v>
      </c>
      <c r="AB1322" s="12" t="s">
        <v>1626</v>
      </c>
      <c r="AC1322" s="14" t="str">
        <f>HYPERLINK("https://gcsvt.ru/svetodiodnyie-svetilniki/svt-zkh-12w-m-krug-ip65-4000k/","Ссылка")</f>
        <v>Ссылка</v>
      </c>
      <c r="AD1322" s="86">
        <v>988</v>
      </c>
    </row>
    <row r="1323" spans="1:30" s="12" customFormat="1" ht="39.950000000000003" hidden="1" customHeight="1" outlineLevel="1" x14ac:dyDescent="0.25">
      <c r="A1323" s="5"/>
      <c r="B1323" s="23" t="s">
        <v>2330</v>
      </c>
      <c r="C1323" s="156" t="s">
        <v>2701</v>
      </c>
      <c r="D1323" s="12">
        <v>970</v>
      </c>
      <c r="E1323" s="12">
        <v>12</v>
      </c>
      <c r="F1323" s="12">
        <v>80</v>
      </c>
      <c r="G1323" s="12" t="s">
        <v>2331</v>
      </c>
      <c r="H1323" s="12" t="s">
        <v>138</v>
      </c>
      <c r="I1323" s="12">
        <v>65</v>
      </c>
      <c r="J1323" s="12" t="s">
        <v>2325</v>
      </c>
      <c r="K1323" s="1" t="s">
        <v>1718</v>
      </c>
      <c r="L1323" s="12">
        <v>0.5</v>
      </c>
      <c r="M1323" s="1" t="s">
        <v>2326</v>
      </c>
      <c r="O1323" s="1" t="s">
        <v>1630</v>
      </c>
      <c r="P1323" s="12" t="s">
        <v>109</v>
      </c>
      <c r="Q1323" s="1" t="s">
        <v>1750</v>
      </c>
      <c r="R1323" s="12">
        <v>80</v>
      </c>
      <c r="S1323" s="12" t="s">
        <v>3090</v>
      </c>
      <c r="U1323" s="12" t="s">
        <v>73</v>
      </c>
      <c r="V1323" s="1" t="s">
        <v>1622</v>
      </c>
      <c r="W1323" s="1" t="s">
        <v>2327</v>
      </c>
      <c r="X1323" s="12" t="s">
        <v>2329</v>
      </c>
      <c r="Y1323" s="12">
        <v>5.4599999999999996E-3</v>
      </c>
      <c r="Z1323" s="12">
        <v>0.3</v>
      </c>
      <c r="AA1323" s="12" t="s">
        <v>77</v>
      </c>
      <c r="AB1323" s="12" t="s">
        <v>1626</v>
      </c>
      <c r="AC1323" s="14" t="str">
        <f>HYPERLINK("https://gcsvt.ru/svetodiodnyie-svetilniki/svt-zkh-12w-m-krug-ip65-sensor-4000k/","Ссылка")</f>
        <v>Ссылка</v>
      </c>
      <c r="AD1323" s="86">
        <v>1561</v>
      </c>
    </row>
    <row r="1324" spans="1:30" s="12" customFormat="1" ht="39.950000000000003" hidden="1" customHeight="1" outlineLevel="1" x14ac:dyDescent="0.25">
      <c r="A1324" s="5"/>
      <c r="B1324" s="23" t="s">
        <v>2324</v>
      </c>
      <c r="C1324" s="157" t="s">
        <v>3087</v>
      </c>
      <c r="D1324" s="12">
        <v>2500</v>
      </c>
      <c r="E1324" s="12">
        <v>25</v>
      </c>
      <c r="F1324" s="12">
        <v>100</v>
      </c>
      <c r="G1324" s="12" t="s">
        <v>3086</v>
      </c>
      <c r="H1324" s="12" t="s">
        <v>138</v>
      </c>
      <c r="I1324" s="12">
        <v>65</v>
      </c>
      <c r="J1324" s="12" t="s">
        <v>389</v>
      </c>
      <c r="K1324" s="1" t="s">
        <v>106</v>
      </c>
      <c r="L1324" s="12">
        <v>0.95</v>
      </c>
      <c r="M1324" s="1" t="s">
        <v>2326</v>
      </c>
      <c r="N1324" s="12" t="s">
        <v>67</v>
      </c>
      <c r="O1324" s="1" t="s">
        <v>1630</v>
      </c>
      <c r="P1324" s="12" t="s">
        <v>109</v>
      </c>
      <c r="Q1324" s="1" t="s">
        <v>1720</v>
      </c>
      <c r="R1324" s="12">
        <v>80</v>
      </c>
      <c r="S1324" s="12" t="s">
        <v>3089</v>
      </c>
      <c r="U1324" s="12" t="s">
        <v>73</v>
      </c>
      <c r="V1324" s="1" t="s">
        <v>3480</v>
      </c>
      <c r="W1324" s="1" t="s">
        <v>2327</v>
      </c>
      <c r="X1324" s="12" t="s">
        <v>3088</v>
      </c>
      <c r="Y1324" s="12">
        <v>3.48E-3</v>
      </c>
      <c r="Z1324" s="12">
        <v>0.5</v>
      </c>
      <c r="AA1324" s="12" t="s">
        <v>77</v>
      </c>
      <c r="AB1324" s="12" t="s">
        <v>114</v>
      </c>
      <c r="AC1324" s="14" t="str">
        <f>HYPERLINK("https://gcsvt.ru/svetodiodnyie-svetilniki/svt-zkh-sm-25w-ip65/","Ссылка")</f>
        <v>Ссылка</v>
      </c>
      <c r="AD1324" s="86">
        <v>4922</v>
      </c>
    </row>
    <row r="1325" spans="1:30" s="12" customFormat="1" ht="39.950000000000003" hidden="1" customHeight="1" outlineLevel="1" x14ac:dyDescent="0.25">
      <c r="A1325" s="5"/>
      <c r="B1325" s="23" t="s">
        <v>2324</v>
      </c>
      <c r="C1325" s="157" t="s">
        <v>3137</v>
      </c>
      <c r="D1325" s="12">
        <v>2160</v>
      </c>
      <c r="E1325" s="12">
        <v>18</v>
      </c>
      <c r="F1325" s="12">
        <v>120</v>
      </c>
      <c r="G1325" s="12" t="s">
        <v>3138</v>
      </c>
      <c r="H1325" s="12" t="s">
        <v>138</v>
      </c>
      <c r="I1325" s="12">
        <v>65</v>
      </c>
      <c r="J1325" s="12" t="s">
        <v>389</v>
      </c>
      <c r="K1325" s="1" t="s">
        <v>106</v>
      </c>
      <c r="L1325" s="12">
        <v>0.95</v>
      </c>
      <c r="M1325" s="1" t="s">
        <v>2326</v>
      </c>
      <c r="N1325" s="12" t="s">
        <v>67</v>
      </c>
      <c r="O1325" s="1" t="s">
        <v>1630</v>
      </c>
      <c r="P1325" s="12" t="s">
        <v>109</v>
      </c>
      <c r="Q1325" s="1" t="s">
        <v>1720</v>
      </c>
      <c r="R1325" s="12">
        <v>80</v>
      </c>
      <c r="S1325" s="12" t="s">
        <v>3136</v>
      </c>
      <c r="U1325" s="12" t="s">
        <v>73</v>
      </c>
      <c r="V1325" s="1" t="s">
        <v>3480</v>
      </c>
      <c r="W1325" s="1" t="s">
        <v>2327</v>
      </c>
      <c r="X1325" s="12" t="s">
        <v>3184</v>
      </c>
      <c r="Y1325" s="12">
        <v>3.48E-3</v>
      </c>
      <c r="Z1325" s="12">
        <v>0.6</v>
      </c>
      <c r="AA1325" s="12" t="s">
        <v>77</v>
      </c>
      <c r="AB1325" s="12" t="s">
        <v>114</v>
      </c>
      <c r="AC1325" s="14" t="str">
        <f>HYPERLINK("https://gcsvt.ru/svetodiodnyie-svetilniki/svt-zkh-l-18w-ip65/","Ссылка")</f>
        <v>Ссылка</v>
      </c>
      <c r="AD1325" s="86">
        <v>3128</v>
      </c>
    </row>
    <row r="1326" spans="1:30" s="12" customFormat="1" ht="39.950000000000003" hidden="1" customHeight="1" outlineLevel="1" x14ac:dyDescent="0.25">
      <c r="A1326" s="5"/>
      <c r="B1326" s="23" t="s">
        <v>2324</v>
      </c>
      <c r="C1326" s="157" t="s">
        <v>3134</v>
      </c>
      <c r="D1326" s="12">
        <v>1200</v>
      </c>
      <c r="E1326" s="12">
        <v>10</v>
      </c>
      <c r="F1326" s="12">
        <v>120</v>
      </c>
      <c r="G1326" s="12" t="s">
        <v>3139</v>
      </c>
      <c r="H1326" s="12" t="s">
        <v>138</v>
      </c>
      <c r="I1326" s="12">
        <v>65</v>
      </c>
      <c r="J1326" s="12" t="s">
        <v>389</v>
      </c>
      <c r="K1326" s="1" t="s">
        <v>106</v>
      </c>
      <c r="L1326" s="12">
        <v>0.95</v>
      </c>
      <c r="M1326" s="1" t="s">
        <v>2326</v>
      </c>
      <c r="N1326" s="12" t="s">
        <v>67</v>
      </c>
      <c r="O1326" s="1" t="s">
        <v>1630</v>
      </c>
      <c r="P1326" s="12" t="s">
        <v>109</v>
      </c>
      <c r="Q1326" s="1" t="s">
        <v>1720</v>
      </c>
      <c r="R1326" s="12">
        <v>80</v>
      </c>
      <c r="S1326" s="12" t="s">
        <v>3135</v>
      </c>
      <c r="U1326" s="12" t="s">
        <v>73</v>
      </c>
      <c r="V1326" s="1" t="s">
        <v>3480</v>
      </c>
      <c r="W1326" s="1" t="s">
        <v>2327</v>
      </c>
      <c r="X1326" s="12" t="s">
        <v>3185</v>
      </c>
      <c r="Y1326" s="12">
        <v>3.48E-3</v>
      </c>
      <c r="Z1326" s="12">
        <v>0.4</v>
      </c>
      <c r="AA1326" s="12" t="s">
        <v>77</v>
      </c>
      <c r="AB1326" s="12" t="s">
        <v>114</v>
      </c>
      <c r="AC1326" s="14" t="str">
        <f>HYPERLINK("https://gcsvt.ru/svetodiodnyie-svetilniki/svt-zkh-ss-10w-ip65/","Ссылка")</f>
        <v>Ссылка</v>
      </c>
      <c r="AD1326" s="86">
        <v>2909</v>
      </c>
    </row>
    <row r="1327" spans="1:30" s="12" customFormat="1" ht="39.950000000000003" hidden="1" customHeight="1" outlineLevel="1" x14ac:dyDescent="0.25">
      <c r="A1327" s="5"/>
      <c r="B1327" s="23" t="s">
        <v>2324</v>
      </c>
      <c r="C1327" s="80" t="s">
        <v>2332</v>
      </c>
      <c r="D1327" s="12">
        <v>670</v>
      </c>
      <c r="E1327" s="12">
        <v>8</v>
      </c>
      <c r="F1327" s="12">
        <v>83</v>
      </c>
      <c r="G1327" s="12" t="s">
        <v>2333</v>
      </c>
      <c r="H1327" s="12" t="s">
        <v>138</v>
      </c>
      <c r="I1327" s="12">
        <v>54</v>
      </c>
      <c r="J1327" s="12" t="s">
        <v>389</v>
      </c>
      <c r="K1327" s="1" t="s">
        <v>1718</v>
      </c>
      <c r="M1327" s="1" t="s">
        <v>2326</v>
      </c>
      <c r="N1327" s="12" t="s">
        <v>108</v>
      </c>
      <c r="O1327" s="1" t="s">
        <v>2334</v>
      </c>
      <c r="P1327" s="12">
        <v>0.86</v>
      </c>
      <c r="Q1327" s="1" t="s">
        <v>2288</v>
      </c>
      <c r="R1327" s="12">
        <v>80</v>
      </c>
      <c r="S1327" s="12" t="s">
        <v>2335</v>
      </c>
      <c r="U1327" s="12" t="s">
        <v>73</v>
      </c>
      <c r="V1327" s="1" t="s">
        <v>1622</v>
      </c>
      <c r="W1327" s="1" t="s">
        <v>2327</v>
      </c>
      <c r="X1327" s="12" t="s">
        <v>2336</v>
      </c>
      <c r="Y1327" s="12">
        <v>5.4599999999999996E-3</v>
      </c>
      <c r="Z1327" s="12">
        <v>0.2</v>
      </c>
      <c r="AA1327" s="12" t="s">
        <v>77</v>
      </c>
      <c r="AB1327" s="12" t="s">
        <v>1726</v>
      </c>
      <c r="AC1327" s="14" t="str">
        <f>HYPERLINK("https://gcsvt.ru/svetodiodnyie-svetilniki/svt-zkh-air-8w-m/","Ссылка")</f>
        <v>Ссылка</v>
      </c>
      <c r="AD1327" s="86">
        <v>1281</v>
      </c>
    </row>
    <row r="1328" spans="1:30" s="12" customFormat="1" ht="39.950000000000003" hidden="1" customHeight="1" outlineLevel="1" x14ac:dyDescent="0.25">
      <c r="A1328" s="5"/>
      <c r="B1328" s="23" t="s">
        <v>1686</v>
      </c>
      <c r="C1328" s="80" t="s">
        <v>3382</v>
      </c>
      <c r="D1328" s="12">
        <v>1440</v>
      </c>
      <c r="E1328" s="12">
        <v>18</v>
      </c>
      <c r="F1328" s="12">
        <v>80</v>
      </c>
      <c r="G1328" s="12" t="s">
        <v>3383</v>
      </c>
      <c r="H1328" s="12" t="s">
        <v>138</v>
      </c>
      <c r="I1328" s="12">
        <v>65</v>
      </c>
      <c r="J1328" s="12" t="s">
        <v>389</v>
      </c>
      <c r="K1328" s="1" t="s">
        <v>106</v>
      </c>
      <c r="L1328" s="12" t="s">
        <v>3380</v>
      </c>
      <c r="M1328" s="1" t="s">
        <v>2107</v>
      </c>
      <c r="N1328" s="12" t="s">
        <v>67</v>
      </c>
      <c r="O1328" s="1" t="s">
        <v>1630</v>
      </c>
      <c r="P1328" s="12" t="s">
        <v>109</v>
      </c>
      <c r="Q1328" s="1" t="s">
        <v>70</v>
      </c>
      <c r="R1328" s="12">
        <v>80</v>
      </c>
      <c r="S1328" s="12" t="s">
        <v>3385</v>
      </c>
      <c r="T1328" s="12" t="s">
        <v>141</v>
      </c>
      <c r="U1328" s="12" t="s">
        <v>73</v>
      </c>
      <c r="V1328" s="1" t="s">
        <v>1632</v>
      </c>
      <c r="W1328" s="1" t="s">
        <v>1633</v>
      </c>
      <c r="X1328" s="12" t="s">
        <v>3384</v>
      </c>
      <c r="Y1328" s="12">
        <v>5.4599999999999996E-3</v>
      </c>
      <c r="Z1328" s="12">
        <v>0.8</v>
      </c>
      <c r="AA1328" s="12" t="s">
        <v>77</v>
      </c>
      <c r="AB1328" s="12" t="s">
        <v>114</v>
      </c>
      <c r="AC1328" s="14" t="str">
        <f>HYPERLINK("https://gcsvt.ru/svetodiodnyie-svetilniki/svt-p-i-v2-400-18w-ip65-m/","Ссылка")</f>
        <v>Ссылка</v>
      </c>
      <c r="AD1328" s="86">
        <v>3980</v>
      </c>
    </row>
    <row r="1329" spans="1:30" s="12" customFormat="1" ht="39.950000000000003" hidden="1" customHeight="1" outlineLevel="1" x14ac:dyDescent="0.25">
      <c r="A1329" s="5"/>
      <c r="B1329" s="23" t="s">
        <v>3891</v>
      </c>
      <c r="C1329" s="80" t="s">
        <v>3892</v>
      </c>
      <c r="D1329" s="12">
        <v>3000</v>
      </c>
      <c r="E1329" s="12">
        <v>20</v>
      </c>
      <c r="F1329" s="12">
        <v>150</v>
      </c>
      <c r="G1329" s="12" t="s">
        <v>3893</v>
      </c>
      <c r="H1329" s="12" t="s">
        <v>138</v>
      </c>
      <c r="I1329" s="12">
        <v>65</v>
      </c>
      <c r="J1329" s="12" t="s">
        <v>389</v>
      </c>
      <c r="K1329" s="1" t="s">
        <v>106</v>
      </c>
      <c r="L1329" s="12" t="s">
        <v>3380</v>
      </c>
      <c r="M1329" s="1" t="s">
        <v>2107</v>
      </c>
      <c r="N1329" s="12" t="s">
        <v>67</v>
      </c>
      <c r="O1329" s="1" t="s">
        <v>1630</v>
      </c>
      <c r="P1329" s="12" t="s">
        <v>109</v>
      </c>
      <c r="Q1329" s="1" t="s">
        <v>2288</v>
      </c>
      <c r="R1329" s="12">
        <v>80</v>
      </c>
      <c r="S1329" s="12" t="s">
        <v>3377</v>
      </c>
      <c r="U1329" s="12" t="s">
        <v>73</v>
      </c>
      <c r="V1329" s="5" t="s">
        <v>74</v>
      </c>
      <c r="W1329" s="1" t="s">
        <v>2327</v>
      </c>
      <c r="X1329" s="12" t="s">
        <v>3897</v>
      </c>
      <c r="Z1329" s="12">
        <v>1.4</v>
      </c>
      <c r="AA1329" s="12" t="s">
        <v>77</v>
      </c>
      <c r="AB1329" s="12" t="s">
        <v>114</v>
      </c>
      <c r="AC1329" s="14" t="str">
        <f>HYPERLINK("https://gcsvt.ru/svetodiodnyie-svetilniki/svt-str-direct-d-20w/","Ссылка")</f>
        <v>Ссылка</v>
      </c>
      <c r="AD1329" s="86">
        <v>13515</v>
      </c>
    </row>
    <row r="1330" spans="1:30" s="12" customFormat="1" ht="39.950000000000003" hidden="1" customHeight="1" outlineLevel="1" x14ac:dyDescent="0.25">
      <c r="A1330" s="5"/>
      <c r="B1330" s="23" t="s">
        <v>3891</v>
      </c>
      <c r="C1330" s="80" t="s">
        <v>3894</v>
      </c>
      <c r="D1330" s="12">
        <v>3000</v>
      </c>
      <c r="E1330" s="12">
        <v>20</v>
      </c>
      <c r="F1330" s="12">
        <v>150</v>
      </c>
      <c r="G1330" s="12" t="s">
        <v>3896</v>
      </c>
      <c r="H1330" s="12" t="s">
        <v>138</v>
      </c>
      <c r="I1330" s="12">
        <v>65</v>
      </c>
      <c r="J1330" s="12" t="s">
        <v>389</v>
      </c>
      <c r="K1330" s="1" t="s">
        <v>106</v>
      </c>
      <c r="L1330" s="12" t="s">
        <v>3380</v>
      </c>
      <c r="M1330" s="1" t="s">
        <v>2107</v>
      </c>
      <c r="N1330" s="12" t="s">
        <v>67</v>
      </c>
      <c r="O1330" s="1" t="s">
        <v>1630</v>
      </c>
      <c r="P1330" s="12" t="s">
        <v>109</v>
      </c>
      <c r="Q1330" s="1" t="s">
        <v>2288</v>
      </c>
      <c r="R1330" s="12">
        <v>80</v>
      </c>
      <c r="S1330" s="12" t="s">
        <v>3377</v>
      </c>
      <c r="U1330" s="12" t="s">
        <v>73</v>
      </c>
      <c r="V1330" s="5" t="s">
        <v>74</v>
      </c>
      <c r="W1330" s="1" t="s">
        <v>2327</v>
      </c>
      <c r="X1330" s="12" t="s">
        <v>3895</v>
      </c>
      <c r="Y1330" s="12">
        <v>5.0000000000000001E-3</v>
      </c>
      <c r="Z1330" s="12">
        <v>2</v>
      </c>
      <c r="AA1330" s="12" t="s">
        <v>77</v>
      </c>
      <c r="AB1330" s="12" t="s">
        <v>114</v>
      </c>
      <c r="AC1330" s="14" t="str">
        <f>HYPERLINK("https://gcsvt.ru/svetodiodnyie-svetilniki/svt-str-direct-ul-20w-1200/","Ссылка")</f>
        <v>Ссылка</v>
      </c>
      <c r="AD1330" s="86">
        <v>24310</v>
      </c>
    </row>
    <row r="1331" spans="1:30" s="161" customFormat="1" ht="39.950000000000003" customHeight="1" x14ac:dyDescent="0.25">
      <c r="A1331" s="207" t="s">
        <v>4005</v>
      </c>
      <c r="B1331" s="182"/>
      <c r="C1331" s="183"/>
      <c r="D1331" s="174"/>
      <c r="E1331" s="174"/>
      <c r="F1331" s="174"/>
      <c r="G1331" s="174"/>
      <c r="H1331" s="174"/>
      <c r="I1331" s="174"/>
      <c r="J1331" s="174"/>
      <c r="K1331" s="113"/>
      <c r="L1331" s="174"/>
      <c r="M1331" s="113"/>
      <c r="N1331" s="174"/>
      <c r="O1331" s="113"/>
      <c r="P1331" s="174"/>
      <c r="Q1331" s="113"/>
      <c r="R1331" s="174"/>
      <c r="S1331" s="174"/>
      <c r="T1331" s="174"/>
      <c r="U1331" s="174"/>
      <c r="V1331" s="113"/>
      <c r="W1331" s="113"/>
      <c r="X1331" s="174"/>
      <c r="Y1331" s="174"/>
      <c r="Z1331" s="174"/>
      <c r="AA1331" s="174"/>
      <c r="AB1331" s="174"/>
      <c r="AC1331" s="224"/>
      <c r="AD1331" s="175"/>
    </row>
    <row r="1332" spans="1:30" s="12" customFormat="1" ht="39.950000000000003" customHeight="1" collapsed="1" x14ac:dyDescent="0.25">
      <c r="A1332" s="4"/>
      <c r="B1332" s="195" t="s">
        <v>4007</v>
      </c>
      <c r="C1332" s="202"/>
      <c r="D1332" s="69"/>
      <c r="E1332" s="69"/>
      <c r="F1332" s="69"/>
      <c r="G1332" s="69"/>
      <c r="H1332" s="69"/>
      <c r="I1332" s="69"/>
      <c r="J1332" s="69"/>
      <c r="K1332" s="68"/>
      <c r="L1332" s="69"/>
      <c r="M1332" s="68"/>
      <c r="N1332" s="69"/>
      <c r="O1332" s="68"/>
      <c r="P1332" s="69"/>
      <c r="Q1332" s="68"/>
      <c r="R1332" s="69"/>
      <c r="S1332" s="69"/>
      <c r="T1332" s="69"/>
      <c r="U1332" s="69"/>
      <c r="V1332" s="68"/>
      <c r="W1332" s="68"/>
      <c r="X1332" s="69"/>
      <c r="Y1332" s="69"/>
      <c r="Z1332" s="69"/>
      <c r="AA1332" s="69"/>
      <c r="AB1332" s="69"/>
      <c r="AC1332" s="227"/>
      <c r="AD1332" s="87"/>
    </row>
    <row r="1333" spans="1:30" s="12" customFormat="1" ht="39.950000000000003" hidden="1" customHeight="1" outlineLevel="1" x14ac:dyDescent="0.25">
      <c r="A1333" s="5"/>
      <c r="B1333" s="23" t="s">
        <v>2337</v>
      </c>
      <c r="C1333" s="80" t="s">
        <v>2338</v>
      </c>
      <c r="D1333" s="12" t="s">
        <v>59</v>
      </c>
      <c r="E1333" s="12" t="s">
        <v>59</v>
      </c>
      <c r="G1333" s="12" t="s">
        <v>2339</v>
      </c>
      <c r="H1333" s="12" t="s">
        <v>59</v>
      </c>
      <c r="I1333" s="12" t="s">
        <v>59</v>
      </c>
      <c r="J1333" s="12" t="s">
        <v>59</v>
      </c>
      <c r="K1333" s="1" t="s">
        <v>59</v>
      </c>
      <c r="L1333" s="12" t="s">
        <v>59</v>
      </c>
      <c r="M1333" s="1" t="s">
        <v>59</v>
      </c>
      <c r="N1333" s="12" t="s">
        <v>59</v>
      </c>
      <c r="O1333" s="1" t="s">
        <v>59</v>
      </c>
      <c r="P1333" s="12" t="s">
        <v>59</v>
      </c>
      <c r="Q1333" s="1" t="s">
        <v>59</v>
      </c>
      <c r="R1333" s="12" t="s">
        <v>59</v>
      </c>
      <c r="S1333" s="12" t="s">
        <v>59</v>
      </c>
      <c r="T1333" s="12" t="s">
        <v>59</v>
      </c>
      <c r="U1333" s="12" t="s">
        <v>59</v>
      </c>
      <c r="V1333" s="1" t="s">
        <v>2340</v>
      </c>
      <c r="W1333" s="1" t="s">
        <v>2341</v>
      </c>
      <c r="X1333" s="12" t="s">
        <v>59</v>
      </c>
      <c r="Y1333" s="12" t="s">
        <v>59</v>
      </c>
      <c r="Z1333" s="12" t="s">
        <v>59</v>
      </c>
      <c r="AA1333" s="12" t="s">
        <v>59</v>
      </c>
      <c r="AB1333" s="12" t="s">
        <v>59</v>
      </c>
      <c r="AC1333" s="14" t="str">
        <f>HYPERLINK("https://gcsvt.ru/svetodiodnyie-svetilniki/komplekt-trosovykh-podvesov-1-2-1200mm-2sht-s-zazhimami/","Ссылка")</f>
        <v>Ссылка</v>
      </c>
      <c r="AD1333" s="86">
        <v>427</v>
      </c>
    </row>
    <row r="1334" spans="1:30" s="12" customFormat="1" ht="39.950000000000003" hidden="1" customHeight="1" outlineLevel="1" x14ac:dyDescent="0.25">
      <c r="A1334" s="5"/>
      <c r="B1334" s="23" t="s">
        <v>2337</v>
      </c>
      <c r="C1334" s="80" t="s">
        <v>2342</v>
      </c>
      <c r="D1334" s="12" t="s">
        <v>59</v>
      </c>
      <c r="E1334" s="12" t="s">
        <v>59</v>
      </c>
      <c r="G1334" s="12" t="s">
        <v>2343</v>
      </c>
      <c r="H1334" s="12" t="s">
        <v>59</v>
      </c>
      <c r="I1334" s="12" t="s">
        <v>59</v>
      </c>
      <c r="J1334" s="12" t="s">
        <v>59</v>
      </c>
      <c r="K1334" s="1" t="s">
        <v>59</v>
      </c>
      <c r="L1334" s="12" t="s">
        <v>59</v>
      </c>
      <c r="M1334" s="1" t="s">
        <v>59</v>
      </c>
      <c r="N1334" s="12" t="s">
        <v>59</v>
      </c>
      <c r="O1334" s="1" t="s">
        <v>59</v>
      </c>
      <c r="P1334" s="12" t="s">
        <v>59</v>
      </c>
      <c r="Q1334" s="1" t="s">
        <v>59</v>
      </c>
      <c r="R1334" s="12" t="s">
        <v>59</v>
      </c>
      <c r="S1334" s="12" t="s">
        <v>59</v>
      </c>
      <c r="T1334" s="12" t="s">
        <v>59</v>
      </c>
      <c r="U1334" s="12" t="s">
        <v>59</v>
      </c>
      <c r="V1334" s="1" t="s">
        <v>2344</v>
      </c>
      <c r="W1334" s="1" t="s">
        <v>2341</v>
      </c>
      <c r="X1334" s="12" t="s">
        <v>59</v>
      </c>
      <c r="Y1334" s="12" t="s">
        <v>59</v>
      </c>
      <c r="Z1334" s="12" t="s">
        <v>59</v>
      </c>
      <c r="AA1334" s="12" t="s">
        <v>59</v>
      </c>
      <c r="AB1334" s="12" t="s">
        <v>59</v>
      </c>
      <c r="AC1334" s="14" t="str">
        <f>HYPERLINK("https://gcsvt.ru/svetodiodnyie-svetilniki/komplekt-trosovykh-podvesov-1-2-2200mm-2sht-s-zazhimami/","Ссылка")</f>
        <v>Ссылка</v>
      </c>
      <c r="AD1334" s="86">
        <v>563</v>
      </c>
    </row>
    <row r="1335" spans="1:30" s="12" customFormat="1" ht="39.950000000000003" hidden="1" customHeight="1" outlineLevel="1" x14ac:dyDescent="0.25">
      <c r="A1335" s="5"/>
      <c r="B1335" s="23" t="s">
        <v>2337</v>
      </c>
      <c r="C1335" s="80" t="s">
        <v>2345</v>
      </c>
      <c r="D1335" s="12" t="s">
        <v>59</v>
      </c>
      <c r="E1335" s="12" t="s">
        <v>59</v>
      </c>
      <c r="G1335" s="12" t="s">
        <v>2346</v>
      </c>
      <c r="H1335" s="12" t="s">
        <v>59</v>
      </c>
      <c r="I1335" s="12" t="s">
        <v>59</v>
      </c>
      <c r="J1335" s="12" t="s">
        <v>59</v>
      </c>
      <c r="K1335" s="1" t="s">
        <v>59</v>
      </c>
      <c r="L1335" s="12" t="s">
        <v>59</v>
      </c>
      <c r="M1335" s="1" t="s">
        <v>59</v>
      </c>
      <c r="N1335" s="12" t="s">
        <v>59</v>
      </c>
      <c r="O1335" s="1" t="s">
        <v>59</v>
      </c>
      <c r="P1335" s="12" t="s">
        <v>59</v>
      </c>
      <c r="Q1335" s="1" t="s">
        <v>59</v>
      </c>
      <c r="R1335" s="12" t="s">
        <v>59</v>
      </c>
      <c r="S1335" s="12" t="s">
        <v>59</v>
      </c>
      <c r="T1335" s="12" t="s">
        <v>59</v>
      </c>
      <c r="U1335" s="12" t="s">
        <v>59</v>
      </c>
      <c r="V1335" s="1" t="s">
        <v>2347</v>
      </c>
      <c r="W1335" s="1" t="s">
        <v>2341</v>
      </c>
      <c r="X1335" s="12" t="s">
        <v>59</v>
      </c>
      <c r="Y1335" s="12" t="s">
        <v>59</v>
      </c>
      <c r="Z1335" s="12" t="s">
        <v>59</v>
      </c>
      <c r="AA1335" s="12" t="s">
        <v>59</v>
      </c>
      <c r="AB1335" s="12" t="s">
        <v>59</v>
      </c>
      <c r="AC1335" s="14" t="str">
        <f>HYPERLINK("https://gcsvt.ru/svetodiodnyie-svetilniki/komplekt-trosovykh-podvesov-1-2-3200mm-2sht-s-zazhimami/","Ссылка")</f>
        <v>Ссылка</v>
      </c>
      <c r="AD1335" s="86">
        <v>684</v>
      </c>
    </row>
    <row r="1336" spans="1:30" s="12" customFormat="1" ht="39.950000000000003" hidden="1" customHeight="1" outlineLevel="1" x14ac:dyDescent="0.25">
      <c r="A1336" s="5"/>
      <c r="B1336" s="23" t="s">
        <v>2337</v>
      </c>
      <c r="C1336" s="80" t="s">
        <v>2348</v>
      </c>
      <c r="D1336" s="12" t="s">
        <v>59</v>
      </c>
      <c r="E1336" s="12" t="s">
        <v>59</v>
      </c>
      <c r="G1336" s="12" t="s">
        <v>2349</v>
      </c>
      <c r="H1336" s="12" t="s">
        <v>59</v>
      </c>
      <c r="I1336" s="12" t="s">
        <v>59</v>
      </c>
      <c r="J1336" s="12" t="s">
        <v>59</v>
      </c>
      <c r="K1336" s="1" t="s">
        <v>59</v>
      </c>
      <c r="L1336" s="12" t="s">
        <v>59</v>
      </c>
      <c r="M1336" s="1" t="s">
        <v>59</v>
      </c>
      <c r="N1336" s="12" t="s">
        <v>59</v>
      </c>
      <c r="O1336" s="1" t="s">
        <v>59</v>
      </c>
      <c r="P1336" s="12" t="s">
        <v>59</v>
      </c>
      <c r="Q1336" s="1" t="s">
        <v>59</v>
      </c>
      <c r="R1336" s="12" t="s">
        <v>59</v>
      </c>
      <c r="S1336" s="12" t="s">
        <v>59</v>
      </c>
      <c r="T1336" s="12" t="s">
        <v>59</v>
      </c>
      <c r="U1336" s="12" t="s">
        <v>59</v>
      </c>
      <c r="V1336" s="1" t="s">
        <v>2350</v>
      </c>
      <c r="W1336" s="1" t="s">
        <v>2341</v>
      </c>
      <c r="X1336" s="12" t="s">
        <v>59</v>
      </c>
      <c r="Y1336" s="12" t="s">
        <v>59</v>
      </c>
      <c r="Z1336" s="12" t="s">
        <v>59</v>
      </c>
      <c r="AA1336" s="12" t="s">
        <v>59</v>
      </c>
      <c r="AB1336" s="12" t="s">
        <v>59</v>
      </c>
      <c r="AC1336" s="14" t="str">
        <f>HYPERLINK("https://gcsvt.ru/svetodiodnyie-svetilniki/komplekt-trosovykh-podvesov-1-2-4200mm-2sht-s-zazhimami/","Ссылка")</f>
        <v>Ссылка</v>
      </c>
      <c r="AD1336" s="86">
        <v>827</v>
      </c>
    </row>
    <row r="1337" spans="1:30" s="12" customFormat="1" ht="39.950000000000003" hidden="1" customHeight="1" outlineLevel="1" x14ac:dyDescent="0.25">
      <c r="A1337" s="5"/>
      <c r="B1337" s="23" t="s">
        <v>2337</v>
      </c>
      <c r="C1337" s="80" t="s">
        <v>2351</v>
      </c>
      <c r="D1337" s="12" t="s">
        <v>59</v>
      </c>
      <c r="E1337" s="12" t="s">
        <v>59</v>
      </c>
      <c r="G1337" s="12" t="s">
        <v>2352</v>
      </c>
      <c r="H1337" s="12" t="s">
        <v>59</v>
      </c>
      <c r="I1337" s="12" t="s">
        <v>59</v>
      </c>
      <c r="J1337" s="12" t="s">
        <v>59</v>
      </c>
      <c r="K1337" s="1" t="s">
        <v>59</v>
      </c>
      <c r="L1337" s="12" t="s">
        <v>59</v>
      </c>
      <c r="M1337" s="1" t="s">
        <v>59</v>
      </c>
      <c r="N1337" s="12" t="s">
        <v>59</v>
      </c>
      <c r="O1337" s="1" t="s">
        <v>59</v>
      </c>
      <c r="P1337" s="12" t="s">
        <v>59</v>
      </c>
      <c r="Q1337" s="1" t="s">
        <v>59</v>
      </c>
      <c r="R1337" s="12" t="s">
        <v>59</v>
      </c>
      <c r="S1337" s="12" t="s">
        <v>59</v>
      </c>
      <c r="T1337" s="12" t="s">
        <v>59</v>
      </c>
      <c r="U1337" s="12" t="s">
        <v>59</v>
      </c>
      <c r="V1337" s="1" t="s">
        <v>2353</v>
      </c>
      <c r="W1337" s="1" t="s">
        <v>112</v>
      </c>
      <c r="X1337" s="12" t="s">
        <v>59</v>
      </c>
      <c r="Z1337" s="12" t="s">
        <v>59</v>
      </c>
      <c r="AA1337" s="12" t="s">
        <v>59</v>
      </c>
      <c r="AB1337" s="12" t="s">
        <v>59</v>
      </c>
      <c r="AC1337" s="14" t="str">
        <f>HYPERLINK("https://gcsvt.ru/svetodiodnyie-svetilniki/svt-str-m/","Ссылка")</f>
        <v>Ссылка</v>
      </c>
      <c r="AD1337" s="86">
        <v>575</v>
      </c>
    </row>
    <row r="1338" spans="1:30" s="12" customFormat="1" ht="39.950000000000003" hidden="1" customHeight="1" outlineLevel="1" x14ac:dyDescent="0.25">
      <c r="A1338" s="5"/>
      <c r="B1338" s="23" t="s">
        <v>2337</v>
      </c>
      <c r="C1338" s="80" t="s">
        <v>2354</v>
      </c>
      <c r="D1338" s="12" t="s">
        <v>59</v>
      </c>
      <c r="E1338" s="12" t="s">
        <v>59</v>
      </c>
      <c r="G1338" s="12" t="s">
        <v>2355</v>
      </c>
      <c r="H1338" s="12" t="s">
        <v>59</v>
      </c>
      <c r="I1338" s="12" t="s">
        <v>59</v>
      </c>
      <c r="J1338" s="12" t="s">
        <v>59</v>
      </c>
      <c r="K1338" s="1" t="s">
        <v>59</v>
      </c>
      <c r="L1338" s="12" t="s">
        <v>59</v>
      </c>
      <c r="M1338" s="1" t="s">
        <v>59</v>
      </c>
      <c r="N1338" s="12" t="s">
        <v>59</v>
      </c>
      <c r="O1338" s="1" t="s">
        <v>59</v>
      </c>
      <c r="P1338" s="12" t="s">
        <v>59</v>
      </c>
      <c r="Q1338" s="1" t="s">
        <v>59</v>
      </c>
      <c r="R1338" s="12" t="s">
        <v>59</v>
      </c>
      <c r="S1338" s="12" t="s">
        <v>59</v>
      </c>
      <c r="T1338" s="12" t="s">
        <v>59</v>
      </c>
      <c r="U1338" s="12" t="s">
        <v>59</v>
      </c>
      <c r="V1338" s="1" t="s">
        <v>2353</v>
      </c>
      <c r="W1338" s="1" t="s">
        <v>2356</v>
      </c>
      <c r="X1338" s="12" t="s">
        <v>59</v>
      </c>
      <c r="Z1338" s="12" t="s">
        <v>59</v>
      </c>
      <c r="AA1338" s="12" t="s">
        <v>59</v>
      </c>
      <c r="AB1338" s="12" t="s">
        <v>59</v>
      </c>
      <c r="AC1338" s="14" t="str">
        <f>HYPERLINK("https://gcsvt.ru/svetodiodnyie-svetilniki/svt-str-mv/","Ссылка")</f>
        <v>Ссылка</v>
      </c>
      <c r="AD1338" s="86">
        <v>886</v>
      </c>
    </row>
    <row r="1339" spans="1:30" s="12" customFormat="1" ht="39.950000000000003" hidden="1" customHeight="1" outlineLevel="1" x14ac:dyDescent="0.25">
      <c r="A1339" s="7"/>
      <c r="B1339" s="23" t="s">
        <v>2337</v>
      </c>
      <c r="C1339" s="80" t="s">
        <v>2775</v>
      </c>
      <c r="D1339" s="12" t="s">
        <v>59</v>
      </c>
      <c r="E1339" s="12" t="s">
        <v>59</v>
      </c>
      <c r="G1339" s="12" t="s">
        <v>2357</v>
      </c>
      <c r="H1339" s="12" t="s">
        <v>59</v>
      </c>
      <c r="I1339" s="12" t="s">
        <v>59</v>
      </c>
      <c r="J1339" s="12" t="s">
        <v>59</v>
      </c>
      <c r="K1339" s="1" t="s">
        <v>59</v>
      </c>
      <c r="L1339" s="12" t="s">
        <v>59</v>
      </c>
      <c r="M1339" s="1" t="s">
        <v>59</v>
      </c>
      <c r="N1339" s="12" t="s">
        <v>59</v>
      </c>
      <c r="O1339" s="1" t="s">
        <v>59</v>
      </c>
      <c r="P1339" s="12" t="s">
        <v>59</v>
      </c>
      <c r="Q1339" s="1" t="s">
        <v>59</v>
      </c>
      <c r="R1339" s="12" t="s">
        <v>59</v>
      </c>
      <c r="S1339" s="12" t="s">
        <v>59</v>
      </c>
      <c r="T1339" s="12" t="s">
        <v>59</v>
      </c>
      <c r="U1339" s="12" t="s">
        <v>59</v>
      </c>
      <c r="V1339" s="1" t="s">
        <v>2001</v>
      </c>
      <c r="W1339" s="1" t="s">
        <v>160</v>
      </c>
      <c r="X1339" s="12" t="s">
        <v>59</v>
      </c>
      <c r="Z1339" s="12" t="s">
        <v>59</v>
      </c>
      <c r="AA1339" s="12" t="s">
        <v>59</v>
      </c>
      <c r="AB1339" s="12" t="s">
        <v>59</v>
      </c>
      <c r="AC1339" s="14" t="str">
        <f>HYPERLINK("https://gcsvt.ru/svetodiodnyie-svetilniki/svt-str-m-s/","Ссылка")</f>
        <v>Ссылка</v>
      </c>
      <c r="AD1339" s="86">
        <v>616</v>
      </c>
    </row>
    <row r="1340" spans="1:30" s="12" customFormat="1" ht="39.950000000000003" hidden="1" customHeight="1" outlineLevel="1" x14ac:dyDescent="0.25">
      <c r="A1340" s="7"/>
      <c r="B1340" s="23" t="s">
        <v>2337</v>
      </c>
      <c r="C1340" s="80" t="s">
        <v>2776</v>
      </c>
      <c r="D1340" s="12" t="s">
        <v>59</v>
      </c>
      <c r="E1340" s="12" t="s">
        <v>59</v>
      </c>
      <c r="G1340" s="12" t="s">
        <v>2358</v>
      </c>
      <c r="H1340" s="12" t="s">
        <v>59</v>
      </c>
      <c r="I1340" s="12" t="s">
        <v>59</v>
      </c>
      <c r="J1340" s="12" t="s">
        <v>59</v>
      </c>
      <c r="K1340" s="1" t="s">
        <v>59</v>
      </c>
      <c r="L1340" s="12" t="s">
        <v>59</v>
      </c>
      <c r="M1340" s="1" t="s">
        <v>59</v>
      </c>
      <c r="N1340" s="12" t="s">
        <v>59</v>
      </c>
      <c r="O1340" s="1" t="s">
        <v>59</v>
      </c>
      <c r="P1340" s="12" t="s">
        <v>59</v>
      </c>
      <c r="Q1340" s="1" t="s">
        <v>59</v>
      </c>
      <c r="R1340" s="12" t="s">
        <v>59</v>
      </c>
      <c r="S1340" s="12" t="s">
        <v>59</v>
      </c>
      <c r="T1340" s="12" t="s">
        <v>59</v>
      </c>
      <c r="U1340" s="12" t="s">
        <v>59</v>
      </c>
      <c r="V1340" s="1" t="s">
        <v>2001</v>
      </c>
      <c r="W1340" s="1" t="s">
        <v>2359</v>
      </c>
      <c r="X1340" s="12" t="s">
        <v>59</v>
      </c>
      <c r="Z1340" s="12" t="s">
        <v>59</v>
      </c>
      <c r="AA1340" s="12" t="s">
        <v>59</v>
      </c>
      <c r="AB1340" s="12" t="s">
        <v>59</v>
      </c>
      <c r="AC1340" s="14" t="str">
        <f>HYPERLINK("https://gcsvt.ru/svetodiodnyie-svetilniki/svt-str-m-s-2/","Ссылка")</f>
        <v>Ссылка</v>
      </c>
      <c r="AD1340" s="86">
        <v>672</v>
      </c>
    </row>
    <row r="1341" spans="1:30" s="12" customFormat="1" ht="39.950000000000003" hidden="1" customHeight="1" outlineLevel="1" x14ac:dyDescent="0.25">
      <c r="A1341" s="10"/>
      <c r="B1341" s="23" t="s">
        <v>2337</v>
      </c>
      <c r="C1341" s="80" t="s">
        <v>2360</v>
      </c>
      <c r="D1341" s="12" t="s">
        <v>59</v>
      </c>
      <c r="E1341" s="12" t="s">
        <v>59</v>
      </c>
      <c r="G1341" s="12" t="s">
        <v>2361</v>
      </c>
      <c r="H1341" s="12" t="s">
        <v>59</v>
      </c>
      <c r="I1341" s="12" t="s">
        <v>59</v>
      </c>
      <c r="J1341" s="12" t="s">
        <v>59</v>
      </c>
      <c r="K1341" s="1" t="s">
        <v>59</v>
      </c>
      <c r="L1341" s="12" t="s">
        <v>59</v>
      </c>
      <c r="M1341" s="1" t="s">
        <v>59</v>
      </c>
      <c r="N1341" s="12" t="s">
        <v>59</v>
      </c>
      <c r="O1341" s="1" t="s">
        <v>59</v>
      </c>
      <c r="P1341" s="12" t="s">
        <v>59</v>
      </c>
      <c r="Q1341" s="1" t="s">
        <v>59</v>
      </c>
      <c r="R1341" s="12" t="s">
        <v>59</v>
      </c>
      <c r="S1341" s="12" t="s">
        <v>59</v>
      </c>
      <c r="T1341" s="12" t="s">
        <v>59</v>
      </c>
      <c r="U1341" s="12" t="s">
        <v>59</v>
      </c>
      <c r="V1341" s="1" t="s">
        <v>2353</v>
      </c>
      <c r="W1341" s="1" t="s">
        <v>112</v>
      </c>
      <c r="X1341" s="12" t="s">
        <v>59</v>
      </c>
      <c r="Z1341" s="12" t="s">
        <v>59</v>
      </c>
      <c r="AA1341" s="12" t="s">
        <v>59</v>
      </c>
      <c r="AB1341" s="12" t="s">
        <v>59</v>
      </c>
      <c r="AC1341" s="14" t="str">
        <f>HYPERLINK("https://gcsvt.ru/svetodiodnyie-svetilniki/svt-str-m-trio90/","Ссылка")</f>
        <v>Ссылка</v>
      </c>
      <c r="AD1341" s="86">
        <v>1197</v>
      </c>
    </row>
    <row r="1342" spans="1:30" s="12" customFormat="1" ht="39.950000000000003" hidden="1" customHeight="1" outlineLevel="1" x14ac:dyDescent="0.25">
      <c r="A1342" s="5"/>
      <c r="B1342" s="23" t="s">
        <v>2337</v>
      </c>
      <c r="C1342" s="80" t="s">
        <v>2362</v>
      </c>
      <c r="D1342" s="12" t="s">
        <v>59</v>
      </c>
      <c r="E1342" s="12" t="s">
        <v>59</v>
      </c>
      <c r="G1342" s="12" t="s">
        <v>2363</v>
      </c>
      <c r="H1342" s="12" t="s">
        <v>59</v>
      </c>
      <c r="I1342" s="12" t="s">
        <v>59</v>
      </c>
      <c r="J1342" s="12" t="s">
        <v>59</v>
      </c>
      <c r="K1342" s="1" t="s">
        <v>59</v>
      </c>
      <c r="L1342" s="12" t="s">
        <v>59</v>
      </c>
      <c r="M1342" s="1" t="s">
        <v>59</v>
      </c>
      <c r="N1342" s="12" t="s">
        <v>59</v>
      </c>
      <c r="O1342" s="1" t="s">
        <v>59</v>
      </c>
      <c r="P1342" s="12" t="s">
        <v>59</v>
      </c>
      <c r="Q1342" s="1" t="s">
        <v>59</v>
      </c>
      <c r="R1342" s="12" t="s">
        <v>59</v>
      </c>
      <c r="S1342" s="12" t="s">
        <v>59</v>
      </c>
      <c r="T1342" s="12" t="s">
        <v>59</v>
      </c>
      <c r="U1342" s="12" t="s">
        <v>59</v>
      </c>
      <c r="V1342" s="1" t="s">
        <v>2364</v>
      </c>
      <c r="W1342" s="1" t="s">
        <v>160</v>
      </c>
      <c r="X1342" s="12" t="s">
        <v>59</v>
      </c>
      <c r="Z1342" s="12" t="s">
        <v>59</v>
      </c>
      <c r="AA1342" s="12" t="s">
        <v>59</v>
      </c>
      <c r="AB1342" s="12" t="s">
        <v>59</v>
      </c>
      <c r="AC1342" s="14" t="str">
        <f>HYPERLINK("https://gcsvt.ru/svetodiodnyie-svetilniki/svt-str-m-trio90-c/","Ссылка")</f>
        <v>Ссылка</v>
      </c>
      <c r="AD1342" s="86">
        <v>1274</v>
      </c>
    </row>
    <row r="1343" spans="1:30" s="12" customFormat="1" ht="39.950000000000003" hidden="1" customHeight="1" outlineLevel="1" x14ac:dyDescent="0.25">
      <c r="A1343" s="5"/>
      <c r="B1343" s="23" t="s">
        <v>2337</v>
      </c>
      <c r="C1343" s="80" t="s">
        <v>2365</v>
      </c>
      <c r="D1343" s="12" t="s">
        <v>59</v>
      </c>
      <c r="E1343" s="12" t="s">
        <v>59</v>
      </c>
      <c r="G1343" s="12" t="s">
        <v>2366</v>
      </c>
      <c r="H1343" s="12" t="s">
        <v>59</v>
      </c>
      <c r="I1343" s="12" t="s">
        <v>59</v>
      </c>
      <c r="J1343" s="12" t="s">
        <v>59</v>
      </c>
      <c r="K1343" s="1" t="s">
        <v>59</v>
      </c>
      <c r="L1343" s="12" t="s">
        <v>59</v>
      </c>
      <c r="M1343" s="1" t="s">
        <v>59</v>
      </c>
      <c r="N1343" s="12" t="s">
        <v>59</v>
      </c>
      <c r="O1343" s="1" t="s">
        <v>59</v>
      </c>
      <c r="P1343" s="12" t="s">
        <v>59</v>
      </c>
      <c r="Q1343" s="1" t="s">
        <v>59</v>
      </c>
      <c r="R1343" s="12" t="s">
        <v>59</v>
      </c>
      <c r="S1343" s="12" t="s">
        <v>59</v>
      </c>
      <c r="T1343" s="12" t="s">
        <v>59</v>
      </c>
      <c r="U1343" s="12" t="s">
        <v>59</v>
      </c>
      <c r="V1343" s="1" t="s">
        <v>2353</v>
      </c>
      <c r="W1343" s="1" t="s">
        <v>112</v>
      </c>
      <c r="X1343" s="12" t="s">
        <v>59</v>
      </c>
      <c r="Z1343" s="12" t="s">
        <v>59</v>
      </c>
      <c r="AA1343" s="12" t="s">
        <v>59</v>
      </c>
      <c r="AB1343" s="12" t="s">
        <v>59</v>
      </c>
      <c r="AC1343" s="14" t="str">
        <f>HYPERLINK("https://gcsvt.ru/svetodiodnyie-svetilniki/svt-str-m-trio/","Ссылка")</f>
        <v>Ссылка</v>
      </c>
      <c r="AD1343" s="86">
        <v>874</v>
      </c>
    </row>
    <row r="1344" spans="1:30" s="12" customFormat="1" ht="39.950000000000003" hidden="1" customHeight="1" outlineLevel="1" x14ac:dyDescent="0.25">
      <c r="A1344" s="5"/>
      <c r="B1344" s="23" t="s">
        <v>2337</v>
      </c>
      <c r="C1344" s="80" t="s">
        <v>2367</v>
      </c>
      <c r="D1344" s="12" t="s">
        <v>59</v>
      </c>
      <c r="E1344" s="12" t="s">
        <v>59</v>
      </c>
      <c r="G1344" s="12" t="s">
        <v>2368</v>
      </c>
      <c r="H1344" s="12" t="s">
        <v>59</v>
      </c>
      <c r="I1344" s="12" t="s">
        <v>59</v>
      </c>
      <c r="J1344" s="12" t="s">
        <v>59</v>
      </c>
      <c r="K1344" s="1" t="s">
        <v>59</v>
      </c>
      <c r="L1344" s="12" t="s">
        <v>59</v>
      </c>
      <c r="M1344" s="1" t="s">
        <v>59</v>
      </c>
      <c r="N1344" s="12" t="s">
        <v>59</v>
      </c>
      <c r="O1344" s="1" t="s">
        <v>59</v>
      </c>
      <c r="P1344" s="12" t="s">
        <v>59</v>
      </c>
      <c r="Q1344" s="1" t="s">
        <v>59</v>
      </c>
      <c r="R1344" s="12" t="s">
        <v>59</v>
      </c>
      <c r="S1344" s="12" t="s">
        <v>59</v>
      </c>
      <c r="T1344" s="12" t="s">
        <v>59</v>
      </c>
      <c r="U1344" s="12" t="s">
        <v>59</v>
      </c>
      <c r="V1344" s="1" t="s">
        <v>2364</v>
      </c>
      <c r="W1344" s="1" t="s">
        <v>160</v>
      </c>
      <c r="X1344" s="12" t="s">
        <v>59</v>
      </c>
      <c r="Z1344" s="12" t="s">
        <v>59</v>
      </c>
      <c r="AA1344" s="12" t="s">
        <v>59</v>
      </c>
      <c r="AB1344" s="12" t="s">
        <v>59</v>
      </c>
      <c r="AC1344" s="14" t="str">
        <f>HYPERLINK("https://gcsvt.ru/svetodiodnyie-svetilniki/svt-str-m-trio-c/","Ссылка")</f>
        <v>Ссылка</v>
      </c>
      <c r="AD1344" s="86">
        <v>978</v>
      </c>
    </row>
    <row r="1345" spans="1:30" s="12" customFormat="1" ht="39.950000000000003" customHeight="1" collapsed="1" x14ac:dyDescent="0.25">
      <c r="A1345" s="9"/>
      <c r="B1345" s="199" t="s">
        <v>2369</v>
      </c>
      <c r="C1345" s="188"/>
      <c r="D1345" s="100"/>
      <c r="E1345" s="100"/>
      <c r="F1345" s="100"/>
      <c r="G1345" s="100"/>
      <c r="H1345" s="100"/>
      <c r="I1345" s="100"/>
      <c r="J1345" s="100"/>
      <c r="K1345" s="99"/>
      <c r="L1345" s="100"/>
      <c r="M1345" s="99"/>
      <c r="N1345" s="100"/>
      <c r="O1345" s="99"/>
      <c r="P1345" s="100"/>
      <c r="Q1345" s="99"/>
      <c r="R1345" s="100"/>
      <c r="S1345" s="100"/>
      <c r="T1345" s="100"/>
      <c r="U1345" s="100"/>
      <c r="V1345" s="99"/>
      <c r="W1345" s="99"/>
      <c r="X1345" s="100"/>
      <c r="Y1345" s="100"/>
      <c r="Z1345" s="100"/>
      <c r="AA1345" s="100"/>
      <c r="AB1345" s="100"/>
      <c r="AC1345" s="229"/>
      <c r="AD1345" s="103"/>
    </row>
    <row r="1346" spans="1:30" s="4" customFormat="1" ht="39.950000000000003" hidden="1" customHeight="1" outlineLevel="1" x14ac:dyDescent="0.25">
      <c r="B1346" s="21" t="s">
        <v>565</v>
      </c>
      <c r="C1346" s="159" t="s">
        <v>3237</v>
      </c>
      <c r="D1346" s="4">
        <v>7630</v>
      </c>
      <c r="E1346" s="4">
        <v>49</v>
      </c>
      <c r="F1346" s="4">
        <v>155</v>
      </c>
      <c r="G1346" s="4" t="s">
        <v>3257</v>
      </c>
      <c r="H1346" s="4" t="s">
        <v>138</v>
      </c>
      <c r="I1346" s="4">
        <v>67</v>
      </c>
      <c r="J1346" s="4" t="s">
        <v>105</v>
      </c>
      <c r="K1346" s="5" t="s">
        <v>106</v>
      </c>
      <c r="L1346" s="4" t="s">
        <v>3380</v>
      </c>
      <c r="M1346" s="5" t="s">
        <v>2107</v>
      </c>
      <c r="N1346" s="4" t="s">
        <v>108</v>
      </c>
      <c r="O1346" s="5" t="s">
        <v>139</v>
      </c>
      <c r="P1346" s="4" t="s">
        <v>109</v>
      </c>
      <c r="Q1346" s="5" t="s">
        <v>70</v>
      </c>
      <c r="R1346" s="4">
        <v>80</v>
      </c>
      <c r="S1346" s="4" t="s">
        <v>147</v>
      </c>
      <c r="T1346" s="4" t="s">
        <v>141</v>
      </c>
      <c r="U1346" s="4" t="s">
        <v>142</v>
      </c>
      <c r="V1346" s="5" t="s">
        <v>74</v>
      </c>
      <c r="W1346" s="5" t="s">
        <v>112</v>
      </c>
      <c r="X1346" s="4" t="s">
        <v>578</v>
      </c>
      <c r="Y1346" s="4">
        <v>0.1</v>
      </c>
      <c r="Z1346" s="4">
        <v>1</v>
      </c>
      <c r="AA1346" s="4" t="s">
        <v>144</v>
      </c>
      <c r="AB1346" s="4" t="s">
        <v>114</v>
      </c>
      <c r="AC1346" s="266" t="str">
        <f>HYPERLINK("https://gcsvt.ru/svetodiodnyie-svetilniki/svt-str-m-50w/","Ссылка")</f>
        <v>Ссылка</v>
      </c>
      <c r="AD1346" s="88">
        <v>5176</v>
      </c>
    </row>
    <row r="1347" spans="1:30" s="12" customFormat="1" ht="39.950000000000003" hidden="1" customHeight="1" outlineLevel="1" x14ac:dyDescent="0.25">
      <c r="A1347" s="5"/>
      <c r="B1347" s="113" t="s">
        <v>565</v>
      </c>
      <c r="C1347" s="188" t="s">
        <v>3238</v>
      </c>
      <c r="D1347" s="100">
        <v>7630</v>
      </c>
      <c r="E1347" s="100">
        <v>49</v>
      </c>
      <c r="F1347" s="100">
        <v>155</v>
      </c>
      <c r="G1347" s="100" t="s">
        <v>3258</v>
      </c>
      <c r="H1347" s="100" t="s">
        <v>138</v>
      </c>
      <c r="I1347" s="100">
        <v>67</v>
      </c>
      <c r="J1347" s="100" t="s">
        <v>105</v>
      </c>
      <c r="K1347" s="99" t="s">
        <v>106</v>
      </c>
      <c r="L1347" s="100" t="s">
        <v>3380</v>
      </c>
      <c r="M1347" s="99" t="s">
        <v>2107</v>
      </c>
      <c r="N1347" s="100" t="s">
        <v>108</v>
      </c>
      <c r="O1347" s="99" t="s">
        <v>139</v>
      </c>
      <c r="P1347" s="100" t="s">
        <v>109</v>
      </c>
      <c r="Q1347" s="99" t="s">
        <v>70</v>
      </c>
      <c r="R1347" s="100">
        <v>80</v>
      </c>
      <c r="S1347" s="100" t="s">
        <v>147</v>
      </c>
      <c r="T1347" s="100" t="s">
        <v>141</v>
      </c>
      <c r="U1347" s="100" t="s">
        <v>142</v>
      </c>
      <c r="V1347" s="99" t="s">
        <v>74</v>
      </c>
      <c r="W1347" s="99" t="s">
        <v>112</v>
      </c>
      <c r="X1347" s="100" t="s">
        <v>578</v>
      </c>
      <c r="Y1347" s="100">
        <v>0.1</v>
      </c>
      <c r="Z1347" s="100">
        <v>1</v>
      </c>
      <c r="AA1347" s="100" t="s">
        <v>144</v>
      </c>
      <c r="AB1347" s="100" t="s">
        <v>114</v>
      </c>
      <c r="AC1347" s="267" t="str">
        <f>HYPERLINK("https://gcsvt.ru/svetodiodnyie-svetilniki/svt-str-m-50w-s-zashchitoy-ot-380/","Ссылка")</f>
        <v>Ссылка</v>
      </c>
      <c r="AD1347" s="103">
        <v>5420</v>
      </c>
    </row>
    <row r="1348" spans="1:30" s="4" customFormat="1" ht="39.950000000000003" hidden="1" customHeight="1" outlineLevel="1" x14ac:dyDescent="0.25">
      <c r="A1348" s="5"/>
      <c r="B1348" s="21" t="s">
        <v>565</v>
      </c>
      <c r="C1348" s="159" t="s">
        <v>3239</v>
      </c>
      <c r="D1348" s="4">
        <v>7630</v>
      </c>
      <c r="E1348" s="4">
        <v>49</v>
      </c>
      <c r="F1348" s="4">
        <v>155</v>
      </c>
      <c r="G1348" s="4" t="s">
        <v>3259</v>
      </c>
      <c r="H1348" s="4" t="s">
        <v>138</v>
      </c>
      <c r="I1348" s="4">
        <v>67</v>
      </c>
      <c r="J1348" s="4" t="s">
        <v>105</v>
      </c>
      <c r="K1348" s="5" t="s">
        <v>106</v>
      </c>
      <c r="L1348" s="4" t="s">
        <v>3380</v>
      </c>
      <c r="M1348" s="5" t="s">
        <v>2107</v>
      </c>
      <c r="N1348" s="4" t="s">
        <v>108</v>
      </c>
      <c r="O1348" s="5" t="s">
        <v>139</v>
      </c>
      <c r="P1348" s="4" t="s">
        <v>109</v>
      </c>
      <c r="Q1348" s="5" t="s">
        <v>70</v>
      </c>
      <c r="R1348" s="4">
        <v>80</v>
      </c>
      <c r="S1348" s="4" t="s">
        <v>147</v>
      </c>
      <c r="T1348" s="4" t="s">
        <v>141</v>
      </c>
      <c r="U1348" s="4" t="s">
        <v>142</v>
      </c>
      <c r="V1348" s="5" t="s">
        <v>74</v>
      </c>
      <c r="W1348" s="5" t="s">
        <v>160</v>
      </c>
      <c r="X1348" s="4" t="s">
        <v>610</v>
      </c>
      <c r="Y1348" s="4">
        <v>0.1</v>
      </c>
      <c r="Z1348" s="4">
        <v>1</v>
      </c>
      <c r="AA1348" s="4" t="s">
        <v>144</v>
      </c>
      <c r="AB1348" s="4" t="s">
        <v>114</v>
      </c>
      <c r="AC1348" s="266" t="str">
        <f>HYPERLINK("https://gcsvt.ru/svetodiodnyie-svetilniki/svt-str-m-50w-c/","Ссылка")</f>
        <v>Ссылка</v>
      </c>
      <c r="AD1348" s="88">
        <v>5176</v>
      </c>
    </row>
    <row r="1349" spans="1:30" s="12" customFormat="1" ht="39.950000000000003" hidden="1" customHeight="1" outlineLevel="1" x14ac:dyDescent="0.25">
      <c r="A1349" s="5"/>
      <c r="B1349" s="113" t="s">
        <v>565</v>
      </c>
      <c r="C1349" s="188" t="s">
        <v>3240</v>
      </c>
      <c r="D1349" s="100">
        <v>7630</v>
      </c>
      <c r="E1349" s="100">
        <v>49</v>
      </c>
      <c r="F1349" s="100">
        <v>155</v>
      </c>
      <c r="G1349" s="100" t="s">
        <v>3260</v>
      </c>
      <c r="H1349" s="100" t="s">
        <v>138</v>
      </c>
      <c r="I1349" s="100">
        <v>67</v>
      </c>
      <c r="J1349" s="100" t="s">
        <v>105</v>
      </c>
      <c r="K1349" s="99" t="s">
        <v>106</v>
      </c>
      <c r="L1349" s="100" t="s">
        <v>3380</v>
      </c>
      <c r="M1349" s="99" t="s">
        <v>2107</v>
      </c>
      <c r="N1349" s="100" t="s">
        <v>108</v>
      </c>
      <c r="O1349" s="99" t="s">
        <v>139</v>
      </c>
      <c r="P1349" s="100" t="s">
        <v>109</v>
      </c>
      <c r="Q1349" s="99" t="s">
        <v>70</v>
      </c>
      <c r="R1349" s="100">
        <v>80</v>
      </c>
      <c r="S1349" s="100" t="s">
        <v>147</v>
      </c>
      <c r="T1349" s="100" t="s">
        <v>141</v>
      </c>
      <c r="U1349" s="100" t="s">
        <v>142</v>
      </c>
      <c r="V1349" s="99" t="s">
        <v>74</v>
      </c>
      <c r="W1349" s="99" t="s">
        <v>160</v>
      </c>
      <c r="X1349" s="100" t="s">
        <v>610</v>
      </c>
      <c r="Y1349" s="100">
        <v>0.1</v>
      </c>
      <c r="Z1349" s="100">
        <v>1</v>
      </c>
      <c r="AA1349" s="100" t="s">
        <v>144</v>
      </c>
      <c r="AB1349" s="100" t="s">
        <v>114</v>
      </c>
      <c r="AC1349" s="267" t="str">
        <f>HYPERLINK("https://gcsvt.ru/svetodiodnyie-svetilniki/svt-str-m-50w-c-s-zashchitoy-ot-380/","Ссылка")</f>
        <v>Ссылка</v>
      </c>
      <c r="AD1349" s="103">
        <v>5420</v>
      </c>
    </row>
    <row r="1350" spans="1:30" s="4" customFormat="1" ht="39.950000000000003" hidden="1" customHeight="1" outlineLevel="1" x14ac:dyDescent="0.25">
      <c r="A1350" s="5"/>
      <c r="B1350" s="21" t="s">
        <v>631</v>
      </c>
      <c r="C1350" s="159" t="s">
        <v>3241</v>
      </c>
      <c r="D1350" s="4">
        <v>15260</v>
      </c>
      <c r="E1350" s="4">
        <v>98</v>
      </c>
      <c r="F1350" s="4">
        <v>155</v>
      </c>
      <c r="G1350" s="4" t="s">
        <v>3261</v>
      </c>
      <c r="H1350" s="4" t="s">
        <v>138</v>
      </c>
      <c r="I1350" s="4">
        <v>67</v>
      </c>
      <c r="J1350" s="4" t="s">
        <v>105</v>
      </c>
      <c r="K1350" s="5" t="s">
        <v>106</v>
      </c>
      <c r="L1350" s="4" t="s">
        <v>3380</v>
      </c>
      <c r="M1350" s="5" t="s">
        <v>2107</v>
      </c>
      <c r="N1350" s="4" t="s">
        <v>108</v>
      </c>
      <c r="O1350" s="5" t="s">
        <v>139</v>
      </c>
      <c r="P1350" s="4" t="s">
        <v>109</v>
      </c>
      <c r="Q1350" s="5" t="s">
        <v>70</v>
      </c>
      <c r="R1350" s="4">
        <v>80</v>
      </c>
      <c r="S1350" s="4" t="s">
        <v>658</v>
      </c>
      <c r="T1350" s="4" t="s">
        <v>141</v>
      </c>
      <c r="U1350" s="4" t="s">
        <v>142</v>
      </c>
      <c r="V1350" s="5" t="s">
        <v>74</v>
      </c>
      <c r="W1350" s="5" t="s">
        <v>112</v>
      </c>
      <c r="X1350" s="4" t="s">
        <v>659</v>
      </c>
      <c r="Y1350" s="4">
        <v>1.176E-2</v>
      </c>
      <c r="Z1350" s="4">
        <v>2</v>
      </c>
      <c r="AA1350" s="4" t="s">
        <v>144</v>
      </c>
      <c r="AB1350" s="4" t="s">
        <v>114</v>
      </c>
      <c r="AC1350" s="266" t="str">
        <f>HYPERLINK("https://gcsvt.ru/svetodiodnyie-svetilniki/svt-str-m-50w-duo/","Ссылка")</f>
        <v>Ссылка</v>
      </c>
      <c r="AD1350" s="88">
        <v>10349</v>
      </c>
    </row>
    <row r="1351" spans="1:30" s="12" customFormat="1" ht="39.950000000000003" hidden="1" customHeight="1" outlineLevel="1" x14ac:dyDescent="0.25">
      <c r="A1351" s="5"/>
      <c r="B1351" s="113" t="s">
        <v>631</v>
      </c>
      <c r="C1351" s="188" t="s">
        <v>3242</v>
      </c>
      <c r="D1351" s="100">
        <v>15260</v>
      </c>
      <c r="E1351" s="100">
        <v>98</v>
      </c>
      <c r="F1351" s="100">
        <v>155</v>
      </c>
      <c r="G1351" s="100" t="s">
        <v>3262</v>
      </c>
      <c r="H1351" s="100" t="s">
        <v>138</v>
      </c>
      <c r="I1351" s="100">
        <v>67</v>
      </c>
      <c r="J1351" s="100" t="s">
        <v>105</v>
      </c>
      <c r="K1351" s="99" t="s">
        <v>106</v>
      </c>
      <c r="L1351" s="100" t="s">
        <v>3380</v>
      </c>
      <c r="M1351" s="99" t="s">
        <v>2107</v>
      </c>
      <c r="N1351" s="100" t="s">
        <v>108</v>
      </c>
      <c r="O1351" s="99" t="s">
        <v>139</v>
      </c>
      <c r="P1351" s="100" t="s">
        <v>109</v>
      </c>
      <c r="Q1351" s="99" t="s">
        <v>70</v>
      </c>
      <c r="R1351" s="100">
        <v>80</v>
      </c>
      <c r="S1351" s="100" t="s">
        <v>658</v>
      </c>
      <c r="T1351" s="100" t="s">
        <v>141</v>
      </c>
      <c r="U1351" s="100" t="s">
        <v>142</v>
      </c>
      <c r="V1351" s="99" t="s">
        <v>74</v>
      </c>
      <c r="W1351" s="99" t="s">
        <v>160</v>
      </c>
      <c r="X1351" s="100" t="s">
        <v>662</v>
      </c>
      <c r="Y1351" s="100">
        <v>1.176E-2</v>
      </c>
      <c r="Z1351" s="100">
        <v>2</v>
      </c>
      <c r="AA1351" s="100" t="s">
        <v>144</v>
      </c>
      <c r="AB1351" s="100" t="s">
        <v>114</v>
      </c>
      <c r="AC1351" s="267" t="str">
        <f>HYPERLINK("https://gcsvt.ru/svetodiodnyie-svetilniki/svt-str-m-50w-duo-c/","Ссылка")</f>
        <v>Ссылка</v>
      </c>
      <c r="AD1351" s="103">
        <v>10349</v>
      </c>
    </row>
    <row r="1352" spans="1:30" s="4" customFormat="1" ht="39.950000000000003" hidden="1" customHeight="1" outlineLevel="1" x14ac:dyDescent="0.25">
      <c r="A1352" s="5"/>
      <c r="B1352" s="21" t="s">
        <v>631</v>
      </c>
      <c r="C1352" s="159" t="s">
        <v>3243</v>
      </c>
      <c r="D1352" s="4">
        <v>15260</v>
      </c>
      <c r="E1352" s="4">
        <v>98</v>
      </c>
      <c r="F1352" s="4">
        <v>155</v>
      </c>
      <c r="G1352" s="4" t="s">
        <v>3263</v>
      </c>
      <c r="H1352" s="4" t="s">
        <v>641</v>
      </c>
      <c r="I1352" s="4">
        <v>67</v>
      </c>
      <c r="J1352" s="4" t="s">
        <v>105</v>
      </c>
      <c r="K1352" s="5" t="s">
        <v>106</v>
      </c>
      <c r="L1352" s="4" t="s">
        <v>3380</v>
      </c>
      <c r="M1352" s="5" t="s">
        <v>2107</v>
      </c>
      <c r="N1352" s="4" t="s">
        <v>108</v>
      </c>
      <c r="O1352" s="5" t="s">
        <v>139</v>
      </c>
      <c r="P1352" s="4" t="s">
        <v>109</v>
      </c>
      <c r="Q1352" s="5" t="s">
        <v>70</v>
      </c>
      <c r="R1352" s="4">
        <v>80</v>
      </c>
      <c r="S1352" s="4" t="s">
        <v>658</v>
      </c>
      <c r="T1352" s="4" t="s">
        <v>141</v>
      </c>
      <c r="U1352" s="4" t="s">
        <v>142</v>
      </c>
      <c r="V1352" s="5" t="s">
        <v>74</v>
      </c>
      <c r="W1352" s="5" t="s">
        <v>112</v>
      </c>
      <c r="X1352" s="4" t="s">
        <v>665</v>
      </c>
      <c r="Y1352" s="4">
        <v>1.176E-2</v>
      </c>
      <c r="Z1352" s="4">
        <v>2</v>
      </c>
      <c r="AA1352" s="4" t="s">
        <v>144</v>
      </c>
      <c r="AB1352" s="4" t="s">
        <v>114</v>
      </c>
      <c r="AC1352" s="266" t="str">
        <f>HYPERLINK("https://gcsvt.ru/svetodiodnyie-svetilniki/svt-str-m-50w-duo90/","Ссылка")</f>
        <v>Ссылка</v>
      </c>
      <c r="AD1352" s="88">
        <v>10349</v>
      </c>
    </row>
    <row r="1353" spans="1:30" s="12" customFormat="1" ht="39.950000000000003" hidden="1" customHeight="1" outlineLevel="1" x14ac:dyDescent="0.25">
      <c r="A1353" s="5"/>
      <c r="B1353" s="113" t="s">
        <v>631</v>
      </c>
      <c r="C1353" s="188" t="s">
        <v>3244</v>
      </c>
      <c r="D1353" s="100">
        <v>15260</v>
      </c>
      <c r="E1353" s="100">
        <v>98</v>
      </c>
      <c r="F1353" s="100">
        <v>155</v>
      </c>
      <c r="G1353" s="100" t="s">
        <v>3264</v>
      </c>
      <c r="H1353" s="100" t="s">
        <v>641</v>
      </c>
      <c r="I1353" s="100">
        <v>67</v>
      </c>
      <c r="J1353" s="100" t="s">
        <v>105</v>
      </c>
      <c r="K1353" s="99" t="s">
        <v>106</v>
      </c>
      <c r="L1353" s="100" t="s">
        <v>3380</v>
      </c>
      <c r="M1353" s="99" t="s">
        <v>2107</v>
      </c>
      <c r="N1353" s="100" t="s">
        <v>108</v>
      </c>
      <c r="O1353" s="99" t="s">
        <v>139</v>
      </c>
      <c r="P1353" s="100" t="s">
        <v>109</v>
      </c>
      <c r="Q1353" s="99" t="s">
        <v>70</v>
      </c>
      <c r="R1353" s="100">
        <v>80</v>
      </c>
      <c r="S1353" s="100" t="s">
        <v>658</v>
      </c>
      <c r="T1353" s="100" t="s">
        <v>141</v>
      </c>
      <c r="U1353" s="100" t="s">
        <v>142</v>
      </c>
      <c r="V1353" s="99" t="s">
        <v>74</v>
      </c>
      <c r="W1353" s="99" t="s">
        <v>160</v>
      </c>
      <c r="X1353" s="100" t="s">
        <v>668</v>
      </c>
      <c r="Y1353" s="100">
        <v>1.176E-2</v>
      </c>
      <c r="Z1353" s="100">
        <v>2</v>
      </c>
      <c r="AA1353" s="100" t="s">
        <v>144</v>
      </c>
      <c r="AB1353" s="100" t="s">
        <v>114</v>
      </c>
      <c r="AC1353" s="267" t="str">
        <f>HYPERLINK("https://gcsvt.ru/svetodiodnyie-svetilniki/svt-str-m-50w-duo90-c/","Ссылка")</f>
        <v>Ссылка</v>
      </c>
      <c r="AD1353" s="103">
        <v>10349</v>
      </c>
    </row>
    <row r="1354" spans="1:30" s="4" customFormat="1" ht="39.950000000000003" hidden="1" customHeight="1" outlineLevel="1" x14ac:dyDescent="0.25">
      <c r="A1354" s="5"/>
      <c r="B1354" s="21" t="s">
        <v>631</v>
      </c>
      <c r="C1354" s="159" t="s">
        <v>3245</v>
      </c>
      <c r="D1354" s="4">
        <v>22890</v>
      </c>
      <c r="E1354" s="4">
        <v>147</v>
      </c>
      <c r="F1354" s="4">
        <v>155</v>
      </c>
      <c r="G1354" s="4" t="s">
        <v>3265</v>
      </c>
      <c r="H1354" s="4" t="s">
        <v>138</v>
      </c>
      <c r="I1354" s="4">
        <v>67</v>
      </c>
      <c r="J1354" s="4" t="s">
        <v>105</v>
      </c>
      <c r="K1354" s="5" t="s">
        <v>106</v>
      </c>
      <c r="L1354" s="4" t="s">
        <v>3380</v>
      </c>
      <c r="M1354" s="5" t="s">
        <v>2107</v>
      </c>
      <c r="N1354" s="4" t="s">
        <v>108</v>
      </c>
      <c r="O1354" s="5" t="s">
        <v>139</v>
      </c>
      <c r="P1354" s="4" t="s">
        <v>109</v>
      </c>
      <c r="Q1354" s="5" t="s">
        <v>70</v>
      </c>
      <c r="R1354" s="4">
        <v>80</v>
      </c>
      <c r="S1354" s="4" t="s">
        <v>671</v>
      </c>
      <c r="T1354" s="4" t="s">
        <v>141</v>
      </c>
      <c r="U1354" s="4" t="s">
        <v>142</v>
      </c>
      <c r="V1354" s="5" t="s">
        <v>74</v>
      </c>
      <c r="W1354" s="5" t="s">
        <v>112</v>
      </c>
      <c r="X1354" s="4" t="s">
        <v>672</v>
      </c>
      <c r="Y1354" s="4">
        <v>1.554E-2</v>
      </c>
      <c r="Z1354" s="4">
        <v>3</v>
      </c>
      <c r="AA1354" s="4" t="s">
        <v>144</v>
      </c>
      <c r="AB1354" s="4" t="s">
        <v>114</v>
      </c>
      <c r="AC1354" s="266" t="str">
        <f>HYPERLINK("https://gcsvt.ru/svetodiodnyie-svetilniki/svt-str-m-50w-trio/","Ссылка")</f>
        <v>Ссылка</v>
      </c>
      <c r="AD1354" s="88">
        <v>15546</v>
      </c>
    </row>
    <row r="1355" spans="1:30" s="12" customFormat="1" ht="39.950000000000003" hidden="1" customHeight="1" outlineLevel="1" x14ac:dyDescent="0.25">
      <c r="A1355" s="5"/>
      <c r="B1355" s="113" t="s">
        <v>631</v>
      </c>
      <c r="C1355" s="188" t="s">
        <v>3246</v>
      </c>
      <c r="D1355" s="100">
        <v>22890</v>
      </c>
      <c r="E1355" s="100">
        <v>147</v>
      </c>
      <c r="F1355" s="100">
        <v>155</v>
      </c>
      <c r="G1355" s="100" t="s">
        <v>3266</v>
      </c>
      <c r="H1355" s="100" t="s">
        <v>138</v>
      </c>
      <c r="I1355" s="100">
        <v>67</v>
      </c>
      <c r="J1355" s="100" t="s">
        <v>105</v>
      </c>
      <c r="K1355" s="99" t="s">
        <v>106</v>
      </c>
      <c r="L1355" s="100" t="s">
        <v>3380</v>
      </c>
      <c r="M1355" s="99" t="s">
        <v>2107</v>
      </c>
      <c r="N1355" s="100" t="s">
        <v>108</v>
      </c>
      <c r="O1355" s="99" t="s">
        <v>139</v>
      </c>
      <c r="P1355" s="100" t="s">
        <v>109</v>
      </c>
      <c r="Q1355" s="99" t="s">
        <v>70</v>
      </c>
      <c r="R1355" s="100">
        <v>80</v>
      </c>
      <c r="S1355" s="100" t="s">
        <v>671</v>
      </c>
      <c r="T1355" s="100" t="s">
        <v>141</v>
      </c>
      <c r="U1355" s="100" t="s">
        <v>142</v>
      </c>
      <c r="V1355" s="99" t="s">
        <v>74</v>
      </c>
      <c r="W1355" s="99" t="s">
        <v>160</v>
      </c>
      <c r="X1355" s="100" t="s">
        <v>675</v>
      </c>
      <c r="Y1355" s="100">
        <v>1.554E-2</v>
      </c>
      <c r="Z1355" s="100">
        <v>3</v>
      </c>
      <c r="AA1355" s="100" t="s">
        <v>144</v>
      </c>
      <c r="AB1355" s="100" t="s">
        <v>114</v>
      </c>
      <c r="AC1355" s="267" t="str">
        <f>HYPERLINK("https://gcsvt.ru/svetodiodnyie-svetilniki/svt-str-m-50w-trio-c/","Ссылка")</f>
        <v>Ссылка</v>
      </c>
      <c r="AD1355" s="103">
        <v>15546</v>
      </c>
    </row>
    <row r="1356" spans="1:30" s="4" customFormat="1" ht="39.950000000000003" hidden="1" customHeight="1" outlineLevel="1" x14ac:dyDescent="0.25">
      <c r="A1356" s="5"/>
      <c r="B1356" s="21" t="s">
        <v>631</v>
      </c>
      <c r="C1356" s="159" t="s">
        <v>3247</v>
      </c>
      <c r="D1356" s="4">
        <v>22890</v>
      </c>
      <c r="E1356" s="4">
        <v>147</v>
      </c>
      <c r="F1356" s="4">
        <v>155</v>
      </c>
      <c r="G1356" s="4" t="s">
        <v>3267</v>
      </c>
      <c r="H1356" s="4" t="s">
        <v>641</v>
      </c>
      <c r="I1356" s="4">
        <v>67</v>
      </c>
      <c r="J1356" s="4" t="s">
        <v>105</v>
      </c>
      <c r="K1356" s="5" t="s">
        <v>106</v>
      </c>
      <c r="L1356" s="4" t="s">
        <v>3380</v>
      </c>
      <c r="M1356" s="5" t="s">
        <v>2107</v>
      </c>
      <c r="N1356" s="4" t="s">
        <v>108</v>
      </c>
      <c r="O1356" s="5" t="s">
        <v>139</v>
      </c>
      <c r="P1356" s="4" t="s">
        <v>109</v>
      </c>
      <c r="Q1356" s="5" t="s">
        <v>70</v>
      </c>
      <c r="R1356" s="4">
        <v>80</v>
      </c>
      <c r="S1356" s="4" t="s">
        <v>671</v>
      </c>
      <c r="T1356" s="4" t="s">
        <v>141</v>
      </c>
      <c r="U1356" s="4" t="s">
        <v>142</v>
      </c>
      <c r="V1356" s="5" t="s">
        <v>74</v>
      </c>
      <c r="W1356" s="5" t="s">
        <v>112</v>
      </c>
      <c r="X1356" s="4" t="s">
        <v>678</v>
      </c>
      <c r="Y1356" s="4">
        <v>1.554E-2</v>
      </c>
      <c r="Z1356" s="4">
        <v>3</v>
      </c>
      <c r="AA1356" s="4" t="s">
        <v>144</v>
      </c>
      <c r="AB1356" s="4" t="s">
        <v>114</v>
      </c>
      <c r="AC1356" s="266" t="str">
        <f>HYPERLINK("https://gcsvt.ru/svetodiodnyie-svetilniki/svt-str-m-50w-trio90/","Ссылка")</f>
        <v>Ссылка</v>
      </c>
      <c r="AD1356" s="88">
        <v>15546</v>
      </c>
    </row>
    <row r="1357" spans="1:30" s="12" customFormat="1" ht="39.950000000000003" hidden="1" customHeight="1" outlineLevel="1" x14ac:dyDescent="0.25">
      <c r="A1357" s="5"/>
      <c r="B1357" s="113" t="s">
        <v>631</v>
      </c>
      <c r="C1357" s="188" t="s">
        <v>3248</v>
      </c>
      <c r="D1357" s="100">
        <v>22890</v>
      </c>
      <c r="E1357" s="100">
        <v>147</v>
      </c>
      <c r="F1357" s="100">
        <v>155</v>
      </c>
      <c r="G1357" s="100" t="s">
        <v>3268</v>
      </c>
      <c r="H1357" s="100" t="s">
        <v>641</v>
      </c>
      <c r="I1357" s="100">
        <v>67</v>
      </c>
      <c r="J1357" s="100" t="s">
        <v>105</v>
      </c>
      <c r="K1357" s="99" t="s">
        <v>106</v>
      </c>
      <c r="L1357" s="100" t="s">
        <v>3380</v>
      </c>
      <c r="M1357" s="99" t="s">
        <v>2107</v>
      </c>
      <c r="N1357" s="100" t="s">
        <v>108</v>
      </c>
      <c r="O1357" s="99" t="s">
        <v>139</v>
      </c>
      <c r="P1357" s="100" t="s">
        <v>109</v>
      </c>
      <c r="Q1357" s="99" t="s">
        <v>70</v>
      </c>
      <c r="R1357" s="100">
        <v>80</v>
      </c>
      <c r="S1357" s="100" t="s">
        <v>671</v>
      </c>
      <c r="T1357" s="100" t="s">
        <v>141</v>
      </c>
      <c r="U1357" s="100" t="s">
        <v>142</v>
      </c>
      <c r="V1357" s="99" t="s">
        <v>74</v>
      </c>
      <c r="W1357" s="99" t="s">
        <v>160</v>
      </c>
      <c r="X1357" s="100" t="s">
        <v>681</v>
      </c>
      <c r="Y1357" s="100">
        <v>1.554E-2</v>
      </c>
      <c r="Z1357" s="100">
        <v>3</v>
      </c>
      <c r="AA1357" s="100" t="s">
        <v>144</v>
      </c>
      <c r="AB1357" s="100" t="s">
        <v>114</v>
      </c>
      <c r="AC1357" s="267" t="str">
        <f>HYPERLINK("https://gcsvt.ru/svetodiodnyie-svetilniki/svt-str-m-50w-trio90-c/","Ссылка")</f>
        <v>Ссылка</v>
      </c>
      <c r="AD1357" s="103">
        <v>15546</v>
      </c>
    </row>
    <row r="1358" spans="1:30" s="4" customFormat="1" ht="39.950000000000003" hidden="1" customHeight="1" outlineLevel="1" x14ac:dyDescent="0.25">
      <c r="A1358" s="5"/>
      <c r="B1358" s="21" t="s">
        <v>631</v>
      </c>
      <c r="C1358" s="159" t="s">
        <v>3249</v>
      </c>
      <c r="D1358" s="4">
        <v>15260</v>
      </c>
      <c r="E1358" s="4">
        <v>98</v>
      </c>
      <c r="F1358" s="4">
        <v>155</v>
      </c>
      <c r="G1358" s="4" t="s">
        <v>3269</v>
      </c>
      <c r="H1358" s="4" t="s">
        <v>138</v>
      </c>
      <c r="I1358" s="4">
        <v>67</v>
      </c>
      <c r="J1358" s="4" t="s">
        <v>105</v>
      </c>
      <c r="K1358" s="5" t="s">
        <v>106</v>
      </c>
      <c r="L1358" s="4" t="s">
        <v>3380</v>
      </c>
      <c r="M1358" s="5" t="s">
        <v>2107</v>
      </c>
      <c r="N1358" s="4" t="s">
        <v>108</v>
      </c>
      <c r="O1358" s="5" t="s">
        <v>139</v>
      </c>
      <c r="P1358" s="4" t="s">
        <v>109</v>
      </c>
      <c r="Q1358" s="5" t="s">
        <v>70</v>
      </c>
      <c r="R1358" s="4">
        <v>80</v>
      </c>
      <c r="S1358" s="4" t="s">
        <v>658</v>
      </c>
      <c r="T1358" s="4" t="s">
        <v>141</v>
      </c>
      <c r="U1358" s="4" t="s">
        <v>142</v>
      </c>
      <c r="V1358" s="5" t="s">
        <v>74</v>
      </c>
      <c r="W1358" s="5" t="s">
        <v>685</v>
      </c>
      <c r="X1358" s="4" t="s">
        <v>726</v>
      </c>
      <c r="Y1358" s="4">
        <v>1.176E-2</v>
      </c>
      <c r="Z1358" s="4">
        <v>2</v>
      </c>
      <c r="AA1358" s="4" t="s">
        <v>144</v>
      </c>
      <c r="AB1358" s="4" t="s">
        <v>114</v>
      </c>
      <c r="AC1358" s="266" t="str">
        <f>HYPERLINK("https://gcsvt.ru/svetodiodnyie-svetilniki/svt-str-m-50w-duo-s-zashchitoy-ot-380/","Ссылка")</f>
        <v>Ссылка</v>
      </c>
      <c r="AD1358" s="88">
        <v>10836</v>
      </c>
    </row>
    <row r="1359" spans="1:30" s="12" customFormat="1" ht="39.950000000000003" hidden="1" customHeight="1" outlineLevel="1" x14ac:dyDescent="0.25">
      <c r="A1359" s="5"/>
      <c r="B1359" s="113" t="s">
        <v>631</v>
      </c>
      <c r="C1359" s="188" t="s">
        <v>3250</v>
      </c>
      <c r="D1359" s="100">
        <v>15260</v>
      </c>
      <c r="E1359" s="100">
        <v>98</v>
      </c>
      <c r="F1359" s="100">
        <v>155</v>
      </c>
      <c r="G1359" s="100" t="s">
        <v>3270</v>
      </c>
      <c r="H1359" s="100" t="s">
        <v>138</v>
      </c>
      <c r="I1359" s="100">
        <v>67</v>
      </c>
      <c r="J1359" s="100" t="s">
        <v>105</v>
      </c>
      <c r="K1359" s="99" t="s">
        <v>106</v>
      </c>
      <c r="L1359" s="100" t="s">
        <v>3380</v>
      </c>
      <c r="M1359" s="99" t="s">
        <v>2107</v>
      </c>
      <c r="N1359" s="100" t="s">
        <v>108</v>
      </c>
      <c r="O1359" s="99" t="s">
        <v>139</v>
      </c>
      <c r="P1359" s="100" t="s">
        <v>109</v>
      </c>
      <c r="Q1359" s="99" t="s">
        <v>70</v>
      </c>
      <c r="R1359" s="100">
        <v>80</v>
      </c>
      <c r="S1359" s="100" t="s">
        <v>658</v>
      </c>
      <c r="T1359" s="100" t="s">
        <v>141</v>
      </c>
      <c r="U1359" s="100" t="s">
        <v>142</v>
      </c>
      <c r="V1359" s="99" t="s">
        <v>74</v>
      </c>
      <c r="W1359" s="99" t="s">
        <v>160</v>
      </c>
      <c r="X1359" s="100" t="s">
        <v>662</v>
      </c>
      <c r="Y1359" s="100">
        <v>1.176E-2</v>
      </c>
      <c r="Z1359" s="100">
        <v>2</v>
      </c>
      <c r="AA1359" s="100" t="s">
        <v>144</v>
      </c>
      <c r="AB1359" s="100" t="s">
        <v>114</v>
      </c>
      <c r="AC1359" s="267" t="str">
        <f>HYPERLINK("https://gcsvt.ru/svetodiodnyie-svetilniki/svt-str-m-50w-duo-c-s-zashchitoy-ot-380/","Ссылка")</f>
        <v>Ссылка</v>
      </c>
      <c r="AD1359" s="103">
        <v>10836</v>
      </c>
    </row>
    <row r="1360" spans="1:30" s="4" customFormat="1" ht="39.950000000000003" hidden="1" customHeight="1" outlineLevel="1" x14ac:dyDescent="0.25">
      <c r="A1360" s="5"/>
      <c r="B1360" s="21" t="s">
        <v>631</v>
      </c>
      <c r="C1360" s="159" t="s">
        <v>3251</v>
      </c>
      <c r="D1360" s="4">
        <v>15260</v>
      </c>
      <c r="E1360" s="4">
        <v>98</v>
      </c>
      <c r="F1360" s="4">
        <v>155</v>
      </c>
      <c r="G1360" s="4" t="s">
        <v>3271</v>
      </c>
      <c r="H1360" s="4" t="s">
        <v>641</v>
      </c>
      <c r="I1360" s="4">
        <v>67</v>
      </c>
      <c r="J1360" s="4" t="s">
        <v>105</v>
      </c>
      <c r="K1360" s="5" t="s">
        <v>106</v>
      </c>
      <c r="L1360" s="4" t="s">
        <v>3380</v>
      </c>
      <c r="M1360" s="5" t="s">
        <v>2107</v>
      </c>
      <c r="N1360" s="4" t="s">
        <v>108</v>
      </c>
      <c r="O1360" s="5" t="s">
        <v>139</v>
      </c>
      <c r="P1360" s="4" t="s">
        <v>109</v>
      </c>
      <c r="Q1360" s="5" t="s">
        <v>70</v>
      </c>
      <c r="R1360" s="4">
        <v>80</v>
      </c>
      <c r="S1360" s="4" t="s">
        <v>658</v>
      </c>
      <c r="T1360" s="4" t="s">
        <v>141</v>
      </c>
      <c r="U1360" s="4" t="s">
        <v>142</v>
      </c>
      <c r="V1360" s="5" t="s">
        <v>74</v>
      </c>
      <c r="W1360" s="5" t="s">
        <v>112</v>
      </c>
      <c r="X1360" s="4" t="s">
        <v>665</v>
      </c>
      <c r="Y1360" s="4">
        <v>1.176E-2</v>
      </c>
      <c r="Z1360" s="4">
        <v>2</v>
      </c>
      <c r="AA1360" s="4" t="s">
        <v>144</v>
      </c>
      <c r="AB1360" s="4" t="s">
        <v>114</v>
      </c>
      <c r="AC1360" s="266" t="str">
        <f>HYPERLINK("https://gcsvt.ru/svetodiodnyie-svetilniki/svt-str-m-50w-duo90-s-zashchitoy-ot-380/","Ссылка")</f>
        <v>Ссылка</v>
      </c>
      <c r="AD1360" s="88">
        <v>10836</v>
      </c>
    </row>
    <row r="1361" spans="1:30" s="12" customFormat="1" ht="39.950000000000003" hidden="1" customHeight="1" outlineLevel="1" x14ac:dyDescent="0.25">
      <c r="A1361" s="5"/>
      <c r="B1361" s="113" t="s">
        <v>631</v>
      </c>
      <c r="C1361" s="188" t="s">
        <v>3252</v>
      </c>
      <c r="D1361" s="100">
        <v>15260</v>
      </c>
      <c r="E1361" s="100">
        <v>98</v>
      </c>
      <c r="F1361" s="100">
        <v>155</v>
      </c>
      <c r="G1361" s="100" t="s">
        <v>3272</v>
      </c>
      <c r="H1361" s="100" t="s">
        <v>641</v>
      </c>
      <c r="I1361" s="100">
        <v>67</v>
      </c>
      <c r="J1361" s="100" t="s">
        <v>105</v>
      </c>
      <c r="K1361" s="99" t="s">
        <v>106</v>
      </c>
      <c r="L1361" s="100" t="s">
        <v>3380</v>
      </c>
      <c r="M1361" s="99" t="s">
        <v>2107</v>
      </c>
      <c r="N1361" s="100" t="s">
        <v>108</v>
      </c>
      <c r="O1361" s="99" t="s">
        <v>139</v>
      </c>
      <c r="P1361" s="100" t="s">
        <v>109</v>
      </c>
      <c r="Q1361" s="99" t="s">
        <v>70</v>
      </c>
      <c r="R1361" s="100">
        <v>80</v>
      </c>
      <c r="S1361" s="100" t="s">
        <v>658</v>
      </c>
      <c r="T1361" s="100" t="s">
        <v>141</v>
      </c>
      <c r="U1361" s="100" t="s">
        <v>142</v>
      </c>
      <c r="V1361" s="99" t="s">
        <v>74</v>
      </c>
      <c r="W1361" s="99" t="s">
        <v>160</v>
      </c>
      <c r="X1361" s="100" t="s">
        <v>668</v>
      </c>
      <c r="Y1361" s="100">
        <v>1.176E-2</v>
      </c>
      <c r="Z1361" s="100">
        <v>2</v>
      </c>
      <c r="AA1361" s="100" t="s">
        <v>144</v>
      </c>
      <c r="AB1361" s="100" t="s">
        <v>114</v>
      </c>
      <c r="AC1361" s="267" t="str">
        <f>HYPERLINK("https://gcsvt.ru/svetodiodnyie-svetilniki/svt-str-m-50w-duo90-c-s-zashchitoy-ot-380/","Ссылка")</f>
        <v>Ссылка</v>
      </c>
      <c r="AD1361" s="103">
        <v>10836</v>
      </c>
    </row>
    <row r="1362" spans="1:30" s="4" customFormat="1" ht="39.950000000000003" hidden="1" customHeight="1" outlineLevel="1" x14ac:dyDescent="0.25">
      <c r="A1362" s="5"/>
      <c r="B1362" s="21" t="s">
        <v>631</v>
      </c>
      <c r="C1362" s="159" t="s">
        <v>3253</v>
      </c>
      <c r="D1362" s="4">
        <v>22890</v>
      </c>
      <c r="E1362" s="4">
        <v>147</v>
      </c>
      <c r="F1362" s="4">
        <v>155</v>
      </c>
      <c r="G1362" s="4" t="s">
        <v>3273</v>
      </c>
      <c r="H1362" s="4" t="s">
        <v>138</v>
      </c>
      <c r="I1362" s="4">
        <v>67</v>
      </c>
      <c r="J1362" s="4" t="s">
        <v>105</v>
      </c>
      <c r="K1362" s="5" t="s">
        <v>106</v>
      </c>
      <c r="L1362" s="4" t="s">
        <v>3380</v>
      </c>
      <c r="M1362" s="5" t="s">
        <v>2107</v>
      </c>
      <c r="N1362" s="4" t="s">
        <v>108</v>
      </c>
      <c r="O1362" s="5" t="s">
        <v>139</v>
      </c>
      <c r="P1362" s="4" t="s">
        <v>109</v>
      </c>
      <c r="Q1362" s="5" t="s">
        <v>70</v>
      </c>
      <c r="R1362" s="4">
        <v>80</v>
      </c>
      <c r="S1362" s="4" t="s">
        <v>671</v>
      </c>
      <c r="T1362" s="4" t="s">
        <v>141</v>
      </c>
      <c r="U1362" s="4" t="s">
        <v>142</v>
      </c>
      <c r="V1362" s="5" t="s">
        <v>74</v>
      </c>
      <c r="W1362" s="5" t="s">
        <v>112</v>
      </c>
      <c r="X1362" s="4" t="s">
        <v>735</v>
      </c>
      <c r="Y1362" s="4">
        <v>1.554E-2</v>
      </c>
      <c r="Z1362" s="4">
        <v>3</v>
      </c>
      <c r="AA1362" s="4" t="s">
        <v>144</v>
      </c>
      <c r="AB1362" s="4" t="s">
        <v>114</v>
      </c>
      <c r="AC1362" s="266" t="str">
        <f>HYPERLINK("https://gcsvt.ru/svetodiodnyie-svetilniki/svt-str-m-50w-trio-s-zashchitoy-ot-380/","Ссылка")</f>
        <v>Ссылка</v>
      </c>
      <c r="AD1362" s="88">
        <v>16254</v>
      </c>
    </row>
    <row r="1363" spans="1:30" s="12" customFormat="1" ht="39.950000000000003" hidden="1" customHeight="1" outlineLevel="1" x14ac:dyDescent="0.25">
      <c r="A1363" s="5"/>
      <c r="B1363" s="113" t="s">
        <v>631</v>
      </c>
      <c r="C1363" s="188" t="s">
        <v>3254</v>
      </c>
      <c r="D1363" s="100">
        <v>22890</v>
      </c>
      <c r="E1363" s="100">
        <v>147</v>
      </c>
      <c r="F1363" s="100">
        <v>155</v>
      </c>
      <c r="G1363" s="100" t="s">
        <v>3274</v>
      </c>
      <c r="H1363" s="100" t="s">
        <v>138</v>
      </c>
      <c r="I1363" s="100">
        <v>67</v>
      </c>
      <c r="J1363" s="100" t="s">
        <v>105</v>
      </c>
      <c r="K1363" s="99" t="s">
        <v>106</v>
      </c>
      <c r="L1363" s="100" t="s">
        <v>3380</v>
      </c>
      <c r="M1363" s="99" t="s">
        <v>2107</v>
      </c>
      <c r="N1363" s="100" t="s">
        <v>108</v>
      </c>
      <c r="O1363" s="99" t="s">
        <v>139</v>
      </c>
      <c r="P1363" s="100" t="s">
        <v>109</v>
      </c>
      <c r="Q1363" s="99" t="s">
        <v>70</v>
      </c>
      <c r="R1363" s="100">
        <v>80</v>
      </c>
      <c r="S1363" s="100" t="s">
        <v>671</v>
      </c>
      <c r="T1363" s="100" t="s">
        <v>141</v>
      </c>
      <c r="U1363" s="100" t="s">
        <v>142</v>
      </c>
      <c r="V1363" s="99" t="s">
        <v>74</v>
      </c>
      <c r="W1363" s="99" t="s">
        <v>160</v>
      </c>
      <c r="X1363" s="100" t="s">
        <v>675</v>
      </c>
      <c r="Y1363" s="100">
        <v>1.554E-2</v>
      </c>
      <c r="Z1363" s="100">
        <v>3</v>
      </c>
      <c r="AA1363" s="100" t="s">
        <v>144</v>
      </c>
      <c r="AB1363" s="100" t="s">
        <v>114</v>
      </c>
      <c r="AC1363" s="267" t="str">
        <f>HYPERLINK("https://gcsvt.ru/svetodiodnyie-svetilniki/svt-str-m-50w-trio-c-s-zashchitoy-ot-380/","Ссылка")</f>
        <v>Ссылка</v>
      </c>
      <c r="AD1363" s="103">
        <v>16254</v>
      </c>
    </row>
    <row r="1364" spans="1:30" s="4" customFormat="1" ht="39.950000000000003" hidden="1" customHeight="1" outlineLevel="1" x14ac:dyDescent="0.25">
      <c r="A1364" s="5"/>
      <c r="B1364" s="21" t="s">
        <v>631</v>
      </c>
      <c r="C1364" s="159" t="s">
        <v>3255</v>
      </c>
      <c r="D1364" s="4">
        <v>22890</v>
      </c>
      <c r="E1364" s="4">
        <v>147</v>
      </c>
      <c r="F1364" s="4">
        <v>155</v>
      </c>
      <c r="G1364" s="4" t="s">
        <v>3275</v>
      </c>
      <c r="H1364" s="4" t="s">
        <v>641</v>
      </c>
      <c r="I1364" s="4">
        <v>67</v>
      </c>
      <c r="J1364" s="4" t="s">
        <v>105</v>
      </c>
      <c r="K1364" s="5" t="s">
        <v>106</v>
      </c>
      <c r="L1364" s="4" t="s">
        <v>3380</v>
      </c>
      <c r="M1364" s="5" t="s">
        <v>2107</v>
      </c>
      <c r="N1364" s="4" t="s">
        <v>108</v>
      </c>
      <c r="O1364" s="5" t="s">
        <v>139</v>
      </c>
      <c r="P1364" s="4" t="s">
        <v>109</v>
      </c>
      <c r="Q1364" s="5" t="s">
        <v>70</v>
      </c>
      <c r="R1364" s="4">
        <v>80</v>
      </c>
      <c r="S1364" s="4" t="s">
        <v>671</v>
      </c>
      <c r="T1364" s="4" t="s">
        <v>141</v>
      </c>
      <c r="U1364" s="4" t="s">
        <v>142</v>
      </c>
      <c r="V1364" s="5" t="s">
        <v>74</v>
      </c>
      <c r="W1364" s="5" t="s">
        <v>112</v>
      </c>
      <c r="X1364" s="4" t="s">
        <v>678</v>
      </c>
      <c r="Y1364" s="4">
        <v>1.554E-2</v>
      </c>
      <c r="Z1364" s="4">
        <v>3</v>
      </c>
      <c r="AA1364" s="4" t="s">
        <v>144</v>
      </c>
      <c r="AB1364" s="4" t="s">
        <v>114</v>
      </c>
      <c r="AC1364" s="266" t="str">
        <f>HYPERLINK("https://gcsvt.ru/svetodiodnyie-svetilniki/svt-str-m-50w-trio90-s-zashchitoy-ot-380/","Ссылка")</f>
        <v>Ссылка</v>
      </c>
      <c r="AD1364" s="88">
        <v>16254</v>
      </c>
    </row>
    <row r="1365" spans="1:30" s="12" customFormat="1" ht="39.950000000000003" hidden="1" customHeight="1" outlineLevel="1" x14ac:dyDescent="0.25">
      <c r="A1365" s="5"/>
      <c r="B1365" s="113" t="s">
        <v>631</v>
      </c>
      <c r="C1365" s="188" t="s">
        <v>3256</v>
      </c>
      <c r="D1365" s="100">
        <v>22890</v>
      </c>
      <c r="E1365" s="100">
        <v>147</v>
      </c>
      <c r="F1365" s="100">
        <v>155</v>
      </c>
      <c r="G1365" s="100" t="s">
        <v>3276</v>
      </c>
      <c r="H1365" s="100" t="s">
        <v>641</v>
      </c>
      <c r="I1365" s="100">
        <v>67</v>
      </c>
      <c r="J1365" s="100" t="s">
        <v>105</v>
      </c>
      <c r="K1365" s="99" t="s">
        <v>106</v>
      </c>
      <c r="L1365" s="100" t="s">
        <v>3380</v>
      </c>
      <c r="M1365" s="99" t="s">
        <v>2107</v>
      </c>
      <c r="N1365" s="100" t="s">
        <v>108</v>
      </c>
      <c r="O1365" s="99" t="s">
        <v>139</v>
      </c>
      <c r="P1365" s="100" t="s">
        <v>109</v>
      </c>
      <c r="Q1365" s="99" t="s">
        <v>70</v>
      </c>
      <c r="R1365" s="100">
        <v>80</v>
      </c>
      <c r="S1365" s="100" t="s">
        <v>671</v>
      </c>
      <c r="T1365" s="100" t="s">
        <v>141</v>
      </c>
      <c r="U1365" s="100" t="s">
        <v>142</v>
      </c>
      <c r="V1365" s="99" t="s">
        <v>74</v>
      </c>
      <c r="W1365" s="99" t="s">
        <v>160</v>
      </c>
      <c r="X1365" s="100" t="s">
        <v>681</v>
      </c>
      <c r="Y1365" s="100">
        <v>1.554E-2</v>
      </c>
      <c r="Z1365" s="100">
        <v>3</v>
      </c>
      <c r="AA1365" s="100" t="s">
        <v>144</v>
      </c>
      <c r="AB1365" s="100" t="s">
        <v>114</v>
      </c>
      <c r="AC1365" s="267" t="str">
        <f>HYPERLINK("https://gcsvt.ru/svetodiodnyie-svetilniki/svt-str-m-50w-trio90-c-s-zashchitoy-ot-380/","Ссылка")</f>
        <v>Ссылка</v>
      </c>
      <c r="AD1365" s="103">
        <v>16254</v>
      </c>
    </row>
    <row r="1366" spans="1:30" s="4" customFormat="1" ht="39.950000000000003" hidden="1" customHeight="1" outlineLevel="1" x14ac:dyDescent="0.25">
      <c r="A1366" s="5"/>
      <c r="B1366" s="21"/>
      <c r="C1366" s="159" t="s">
        <v>2370</v>
      </c>
      <c r="D1366" s="4">
        <v>5800</v>
      </c>
      <c r="E1366" s="4">
        <v>42</v>
      </c>
      <c r="F1366" s="4">
        <v>138</v>
      </c>
      <c r="G1366" s="4" t="s">
        <v>2371</v>
      </c>
      <c r="H1366" s="4" t="s">
        <v>63</v>
      </c>
      <c r="I1366" s="4">
        <v>67</v>
      </c>
      <c r="J1366" s="4" t="s">
        <v>389</v>
      </c>
      <c r="K1366" s="5" t="s">
        <v>106</v>
      </c>
      <c r="L1366" s="4" t="s">
        <v>3380</v>
      </c>
      <c r="M1366" s="5" t="s">
        <v>107</v>
      </c>
      <c r="N1366" s="4" t="s">
        <v>108</v>
      </c>
      <c r="O1366" s="5" t="s">
        <v>68</v>
      </c>
      <c r="P1366" s="4" t="s">
        <v>109</v>
      </c>
      <c r="Q1366" s="5" t="s">
        <v>70</v>
      </c>
      <c r="R1366" s="4">
        <v>70</v>
      </c>
      <c r="S1366" s="4" t="s">
        <v>173</v>
      </c>
      <c r="T1366" s="4" t="s">
        <v>390</v>
      </c>
      <c r="U1366" s="4" t="s">
        <v>73</v>
      </c>
      <c r="V1366" s="5" t="s">
        <v>74</v>
      </c>
      <c r="W1366" s="5" t="s">
        <v>75</v>
      </c>
      <c r="X1366" s="4" t="s">
        <v>2372</v>
      </c>
      <c r="Y1366" s="4">
        <v>0.01</v>
      </c>
      <c r="Z1366" s="4">
        <v>2</v>
      </c>
      <c r="AA1366" s="4" t="s">
        <v>77</v>
      </c>
      <c r="AB1366" s="4" t="s">
        <v>391</v>
      </c>
      <c r="AC1366" s="266" t="str">
        <f>HYPERLINK("https://gcsvt.ru/svetodiodnyie-svetilniki/prozhektor-muza-42vt/","Ссылка")</f>
        <v>Ссылка</v>
      </c>
      <c r="AD1366" s="2" t="s">
        <v>2859</v>
      </c>
    </row>
    <row r="1367" spans="1:30" s="12" customFormat="1" ht="39.950000000000003" hidden="1" customHeight="1" outlineLevel="1" x14ac:dyDescent="0.25">
      <c r="A1367" s="4"/>
      <c r="B1367" s="113"/>
      <c r="C1367" s="188" t="s">
        <v>2373</v>
      </c>
      <c r="D1367" s="100">
        <v>19000</v>
      </c>
      <c r="E1367" s="100">
        <v>120</v>
      </c>
      <c r="F1367" s="100">
        <v>158</v>
      </c>
      <c r="G1367" s="100" t="s">
        <v>2374</v>
      </c>
      <c r="H1367" s="100" t="s">
        <v>63</v>
      </c>
      <c r="I1367" s="100">
        <v>67</v>
      </c>
      <c r="J1367" s="100" t="s">
        <v>105</v>
      </c>
      <c r="K1367" s="99" t="s">
        <v>106</v>
      </c>
      <c r="L1367" s="100" t="s">
        <v>3380</v>
      </c>
      <c r="M1367" s="99" t="s">
        <v>506</v>
      </c>
      <c r="N1367" s="100" t="s">
        <v>67</v>
      </c>
      <c r="O1367" s="99" t="s">
        <v>68</v>
      </c>
      <c r="P1367" s="100" t="s">
        <v>109</v>
      </c>
      <c r="Q1367" s="99" t="s">
        <v>70</v>
      </c>
      <c r="R1367" s="100">
        <v>70</v>
      </c>
      <c r="S1367" s="100" t="s">
        <v>236</v>
      </c>
      <c r="T1367" s="100" t="s">
        <v>2375</v>
      </c>
      <c r="U1367" s="100" t="s">
        <v>73</v>
      </c>
      <c r="V1367" s="99" t="s">
        <v>2376</v>
      </c>
      <c r="W1367" s="99" t="s">
        <v>2377</v>
      </c>
      <c r="X1367" s="100" t="s">
        <v>2378</v>
      </c>
      <c r="Y1367" s="100">
        <v>1.6951999999999998E-2</v>
      </c>
      <c r="Z1367" s="100">
        <v>2.8</v>
      </c>
      <c r="AA1367" s="100" t="s">
        <v>77</v>
      </c>
      <c r="AB1367" s="100" t="s">
        <v>114</v>
      </c>
      <c r="AC1367" s="267" t="str">
        <f>HYPERLINK("https://gcsvt.ru/svetodiodnyie-svetilniki/dorozhnyy-svetilnik-dortula-120vt/","Ссылка")</f>
        <v>Ссылка</v>
      </c>
      <c r="AD1367" s="109" t="s">
        <v>2859</v>
      </c>
    </row>
    <row r="1368" spans="1:30" s="4" customFormat="1" ht="39.950000000000003" hidden="1" customHeight="1" outlineLevel="1" x14ac:dyDescent="0.25">
      <c r="B1368" s="21"/>
      <c r="C1368" s="159" t="s">
        <v>2379</v>
      </c>
      <c r="D1368" s="4">
        <v>14240</v>
      </c>
      <c r="E1368" s="4">
        <v>96</v>
      </c>
      <c r="F1368" s="4">
        <v>148</v>
      </c>
      <c r="H1368" s="4" t="s">
        <v>138</v>
      </c>
      <c r="I1368" s="4">
        <v>67</v>
      </c>
      <c r="J1368" s="4" t="s">
        <v>2380</v>
      </c>
      <c r="K1368" s="5" t="s">
        <v>106</v>
      </c>
      <c r="L1368" s="4" t="s">
        <v>3380</v>
      </c>
      <c r="M1368" s="5" t="s">
        <v>2381</v>
      </c>
      <c r="N1368" s="4" t="s">
        <v>67</v>
      </c>
      <c r="O1368" s="5" t="s">
        <v>139</v>
      </c>
      <c r="P1368" s="4" t="s">
        <v>69</v>
      </c>
      <c r="Q1368" s="5" t="s">
        <v>70</v>
      </c>
      <c r="R1368" s="4">
        <v>80</v>
      </c>
      <c r="S1368" s="4" t="s">
        <v>155</v>
      </c>
      <c r="T1368" s="4" t="s">
        <v>141</v>
      </c>
      <c r="U1368" s="4" t="s">
        <v>73</v>
      </c>
      <c r="V1368" s="5" t="s">
        <v>74</v>
      </c>
      <c r="W1368" s="5" t="s">
        <v>112</v>
      </c>
      <c r="X1368" s="4" t="s">
        <v>598</v>
      </c>
      <c r="Y1368" s="4">
        <v>7.6049999999999998E-3</v>
      </c>
      <c r="Z1368" s="4">
        <v>1.9</v>
      </c>
      <c r="AA1368" s="4" t="s">
        <v>2382</v>
      </c>
      <c r="AB1368" s="4" t="s">
        <v>114</v>
      </c>
      <c r="AC1368" s="266" t="str">
        <f>HYPERLINK("https://gcsvt.ru/svetodiodnyie-svetilniki/promyshlennyy-svetilnik-s-blokom-avariynogo-pitaniya-na-1-chas-svt-str-m-96w-mw-bat-1h/","Ссылка")</f>
        <v>Ссылка</v>
      </c>
      <c r="AD1368" s="2" t="s">
        <v>2859</v>
      </c>
    </row>
    <row r="1369" spans="1:30" s="12" customFormat="1" ht="39.950000000000003" hidden="1" customHeight="1" outlineLevel="1" x14ac:dyDescent="0.25">
      <c r="A1369" s="4"/>
      <c r="B1369" s="113"/>
      <c r="C1369" s="188" t="s">
        <v>2383</v>
      </c>
      <c r="D1369" s="100">
        <v>14240</v>
      </c>
      <c r="E1369" s="100">
        <v>96</v>
      </c>
      <c r="F1369" s="100">
        <v>148</v>
      </c>
      <c r="G1369" s="100"/>
      <c r="H1369" s="100" t="s">
        <v>138</v>
      </c>
      <c r="I1369" s="100">
        <v>67</v>
      </c>
      <c r="J1369" s="100" t="s">
        <v>2380</v>
      </c>
      <c r="K1369" s="99" t="s">
        <v>106</v>
      </c>
      <c r="L1369" s="100" t="s">
        <v>3380</v>
      </c>
      <c r="M1369" s="99" t="s">
        <v>2384</v>
      </c>
      <c r="N1369" s="100" t="s">
        <v>67</v>
      </c>
      <c r="O1369" s="99" t="s">
        <v>139</v>
      </c>
      <c r="P1369" s="100" t="s">
        <v>109</v>
      </c>
      <c r="Q1369" s="99" t="s">
        <v>70</v>
      </c>
      <c r="R1369" s="100">
        <v>80</v>
      </c>
      <c r="S1369" s="100" t="s">
        <v>155</v>
      </c>
      <c r="T1369" s="100" t="s">
        <v>141</v>
      </c>
      <c r="U1369" s="100" t="s">
        <v>73</v>
      </c>
      <c r="V1369" s="99" t="s">
        <v>74</v>
      </c>
      <c r="W1369" s="99" t="s">
        <v>112</v>
      </c>
      <c r="X1369" s="100" t="s">
        <v>598</v>
      </c>
      <c r="Y1369" s="100">
        <v>7.6049999999999998E-3</v>
      </c>
      <c r="Z1369" s="100">
        <v>1.9</v>
      </c>
      <c r="AA1369" s="100" t="s">
        <v>2382</v>
      </c>
      <c r="AB1369" s="100" t="s">
        <v>114</v>
      </c>
      <c r="AC1369" s="267" t="str">
        <f>HYPERLINK("https://gcsvt.ru/svetodiodnyie-svetilniki/promyshlennyy-svetilnik-s-blokom-avariynogo-pitaniya-na-2-chasa-svt-str-m-96w-bat-2h/","Ссылка")</f>
        <v>Ссылка</v>
      </c>
      <c r="AD1369" s="109" t="s">
        <v>2859</v>
      </c>
    </row>
    <row r="1370" spans="1:30" s="4" customFormat="1" ht="39.950000000000003" hidden="1" customHeight="1" outlineLevel="1" x14ac:dyDescent="0.25">
      <c r="B1370" s="21"/>
      <c r="C1370" s="159" t="s">
        <v>2385</v>
      </c>
      <c r="D1370" s="4">
        <v>187120</v>
      </c>
      <c r="E1370" s="4">
        <v>1240</v>
      </c>
      <c r="F1370" s="4">
        <v>150</v>
      </c>
      <c r="H1370" s="4" t="s">
        <v>183</v>
      </c>
      <c r="I1370" s="4">
        <v>67</v>
      </c>
      <c r="J1370" s="4" t="s">
        <v>389</v>
      </c>
      <c r="K1370" s="5" t="s">
        <v>106</v>
      </c>
      <c r="L1370" s="4" t="s">
        <v>3380</v>
      </c>
      <c r="M1370" s="5" t="s">
        <v>235</v>
      </c>
      <c r="N1370" s="4" t="s">
        <v>67</v>
      </c>
      <c r="O1370" s="5" t="s">
        <v>68</v>
      </c>
      <c r="P1370" s="4" t="s">
        <v>109</v>
      </c>
      <c r="Q1370" s="5" t="s">
        <v>70</v>
      </c>
      <c r="R1370" s="4">
        <v>70</v>
      </c>
      <c r="S1370" s="4" t="s">
        <v>2386</v>
      </c>
      <c r="T1370" s="4" t="s">
        <v>390</v>
      </c>
      <c r="U1370" s="4" t="s">
        <v>73</v>
      </c>
      <c r="V1370" s="5" t="s">
        <v>74</v>
      </c>
      <c r="W1370" s="5" t="s">
        <v>257</v>
      </c>
      <c r="X1370" s="4" t="s">
        <v>2387</v>
      </c>
      <c r="Y1370" s="4">
        <v>0.01</v>
      </c>
      <c r="Z1370" s="4">
        <v>30</v>
      </c>
      <c r="AA1370" s="4" t="s">
        <v>77</v>
      </c>
      <c r="AB1370" s="4" t="s">
        <v>391</v>
      </c>
      <c r="AC1370" s="266" t="str">
        <f>HYPERLINK("https://gcsvt.ru/svetodiodnyie-svetilniki/svt-str-mpro-max-155w-65-octo/","Ссылка")</f>
        <v>Ссылка</v>
      </c>
      <c r="AD1370" s="2" t="s">
        <v>2859</v>
      </c>
    </row>
    <row r="1371" spans="1:30" s="12" customFormat="1" ht="39.950000000000003" hidden="1" customHeight="1" outlineLevel="1" x14ac:dyDescent="0.25">
      <c r="A1371" s="4"/>
      <c r="B1371" s="113"/>
      <c r="C1371" s="188" t="s">
        <v>2388</v>
      </c>
      <c r="D1371" s="100">
        <v>204000</v>
      </c>
      <c r="E1371" s="100">
        <v>1200</v>
      </c>
      <c r="F1371" s="100">
        <v>170</v>
      </c>
      <c r="G1371" s="100"/>
      <c r="H1371" s="100" t="s">
        <v>84</v>
      </c>
      <c r="I1371" s="100">
        <v>67</v>
      </c>
      <c r="J1371" s="100" t="s">
        <v>105</v>
      </c>
      <c r="K1371" s="99" t="s">
        <v>65</v>
      </c>
      <c r="L1371" s="100" t="s">
        <v>3380</v>
      </c>
      <c r="M1371" s="99" t="s">
        <v>506</v>
      </c>
      <c r="N1371" s="100" t="s">
        <v>67</v>
      </c>
      <c r="O1371" s="99" t="s">
        <v>68</v>
      </c>
      <c r="P1371" s="100" t="s">
        <v>109</v>
      </c>
      <c r="Q1371" s="99" t="s">
        <v>70</v>
      </c>
      <c r="R1371" s="100">
        <v>70</v>
      </c>
      <c r="S1371" s="100" t="s">
        <v>2389</v>
      </c>
      <c r="T1371" s="100" t="s">
        <v>111</v>
      </c>
      <c r="U1371" s="100" t="s">
        <v>73</v>
      </c>
      <c r="V1371" s="99" t="s">
        <v>74</v>
      </c>
      <c r="W1371" s="99" t="s">
        <v>257</v>
      </c>
      <c r="X1371" s="100" t="s">
        <v>2390</v>
      </c>
      <c r="Y1371" s="100">
        <v>0.01</v>
      </c>
      <c r="Z1371" s="100">
        <v>50</v>
      </c>
      <c r="AA1371" s="100" t="s">
        <v>77</v>
      </c>
      <c r="AB1371" s="100" t="s">
        <v>114</v>
      </c>
      <c r="AC1371" s="267" t="str">
        <f>HYPERLINK("https://gcsvt.ru/svetodiodnyie-svetilniki/svt-str-bolid-600w-60-duo/","Ссылка")</f>
        <v>Ссылка</v>
      </c>
      <c r="AD1371" s="109" t="s">
        <v>2859</v>
      </c>
    </row>
    <row r="1372" spans="1:30" s="4" customFormat="1" ht="39.950000000000003" hidden="1" customHeight="1" outlineLevel="1" x14ac:dyDescent="0.25">
      <c r="B1372" s="21"/>
      <c r="C1372" s="159" t="s">
        <v>2391</v>
      </c>
      <c r="D1372" s="4">
        <v>12470</v>
      </c>
      <c r="E1372" s="4">
        <v>80</v>
      </c>
      <c r="F1372" s="4">
        <v>155</v>
      </c>
      <c r="H1372" s="4" t="s">
        <v>138</v>
      </c>
      <c r="I1372" s="4">
        <v>67</v>
      </c>
      <c r="J1372" s="4" t="s">
        <v>105</v>
      </c>
      <c r="K1372" s="5" t="s">
        <v>106</v>
      </c>
      <c r="L1372" s="4" t="s">
        <v>3380</v>
      </c>
      <c r="M1372" s="5" t="s">
        <v>2392</v>
      </c>
      <c r="N1372" s="4" t="s">
        <v>67</v>
      </c>
      <c r="O1372" s="5" t="s">
        <v>139</v>
      </c>
      <c r="P1372" s="4" t="s">
        <v>109</v>
      </c>
      <c r="Q1372" s="5" t="s">
        <v>70</v>
      </c>
      <c r="R1372" s="4">
        <v>80</v>
      </c>
      <c r="S1372" s="4" t="s">
        <v>594</v>
      </c>
      <c r="T1372" s="4" t="s">
        <v>141</v>
      </c>
      <c r="U1372" s="4" t="s">
        <v>73</v>
      </c>
      <c r="V1372" s="5" t="s">
        <v>74</v>
      </c>
      <c r="W1372" s="5" t="s">
        <v>112</v>
      </c>
      <c r="X1372" s="4" t="s">
        <v>595</v>
      </c>
      <c r="Y1372" s="4">
        <v>7.6049999999999998E-3</v>
      </c>
      <c r="Z1372" s="4">
        <v>1.8</v>
      </c>
      <c r="AA1372" s="4" t="s">
        <v>77</v>
      </c>
      <c r="AB1372" s="4" t="s">
        <v>114</v>
      </c>
      <c r="AC1372" s="266" t="str">
        <f>HYPERLINK("https://gcsvt.ru/svetodiodnyie-svetilniki/svt-str-m-80w-dimm-0-10w/","Ссылка")</f>
        <v>Ссылка</v>
      </c>
      <c r="AD1372" s="2" t="s">
        <v>2859</v>
      </c>
    </row>
    <row r="1373" spans="1:30" s="12" customFormat="1" ht="39.950000000000003" hidden="1" customHeight="1" outlineLevel="1" x14ac:dyDescent="0.25">
      <c r="A1373" s="4"/>
      <c r="B1373" s="113"/>
      <c r="C1373" s="188" t="s">
        <v>2393</v>
      </c>
      <c r="D1373" s="100">
        <v>3500</v>
      </c>
      <c r="E1373" s="100">
        <v>27</v>
      </c>
      <c r="F1373" s="100">
        <v>129</v>
      </c>
      <c r="G1373" s="100"/>
      <c r="H1373" s="100" t="s">
        <v>138</v>
      </c>
      <c r="I1373" s="100">
        <v>20</v>
      </c>
      <c r="J1373" s="100" t="s">
        <v>389</v>
      </c>
      <c r="K1373" s="99" t="s">
        <v>106</v>
      </c>
      <c r="L1373" s="100" t="s">
        <v>1618</v>
      </c>
      <c r="M1373" s="99" t="s">
        <v>2394</v>
      </c>
      <c r="N1373" s="100" t="s">
        <v>67</v>
      </c>
      <c r="O1373" s="99" t="s">
        <v>2395</v>
      </c>
      <c r="P1373" s="100" t="s">
        <v>109</v>
      </c>
      <c r="Q1373" s="99" t="s">
        <v>70</v>
      </c>
      <c r="R1373" s="100">
        <v>80</v>
      </c>
      <c r="S1373" s="100" t="s">
        <v>2396</v>
      </c>
      <c r="T1373" s="100" t="s">
        <v>141</v>
      </c>
      <c r="U1373" s="100" t="s">
        <v>73</v>
      </c>
      <c r="V1373" s="99" t="s">
        <v>1931</v>
      </c>
      <c r="W1373" s="99" t="s">
        <v>1952</v>
      </c>
      <c r="X1373" s="100" t="s">
        <v>1951</v>
      </c>
      <c r="Y1373" s="100">
        <v>2.3064000000000001E-2</v>
      </c>
      <c r="Z1373" s="100">
        <v>3.19</v>
      </c>
      <c r="AA1373" s="100" t="s">
        <v>1933</v>
      </c>
      <c r="AB1373" s="100" t="s">
        <v>114</v>
      </c>
      <c r="AC1373" s="267" t="str">
        <f>HYPERLINK("https://gcsvt.ru/svetodiodnyie-svetilniki/svt-arm-u-595x595x40-27w-m-ultra-bat-2h/","Ссылка")</f>
        <v>Ссылка</v>
      </c>
      <c r="AD1373" s="109" t="s">
        <v>2859</v>
      </c>
    </row>
    <row r="1374" spans="1:30" s="4" customFormat="1" ht="39.950000000000003" hidden="1" customHeight="1" outlineLevel="1" x14ac:dyDescent="0.25">
      <c r="B1374" s="21"/>
      <c r="C1374" s="159" t="s">
        <v>2397</v>
      </c>
      <c r="D1374" s="4">
        <v>2700</v>
      </c>
      <c r="E1374" s="4">
        <v>18</v>
      </c>
      <c r="F1374" s="4">
        <v>150</v>
      </c>
      <c r="H1374" s="4" t="s">
        <v>1805</v>
      </c>
      <c r="I1374" s="4">
        <v>65</v>
      </c>
      <c r="J1374" s="4" t="s">
        <v>105</v>
      </c>
      <c r="K1374" s="5" t="s">
        <v>106</v>
      </c>
      <c r="L1374" s="4" t="s">
        <v>1618</v>
      </c>
      <c r="M1374" s="5" t="s">
        <v>2107</v>
      </c>
      <c r="N1374" s="4" t="s">
        <v>67</v>
      </c>
      <c r="O1374" s="5" t="s">
        <v>2398</v>
      </c>
      <c r="P1374" s="4" t="s">
        <v>109</v>
      </c>
      <c r="Q1374" s="5" t="s">
        <v>70</v>
      </c>
      <c r="R1374" s="4">
        <v>70</v>
      </c>
      <c r="S1374" s="4" t="s">
        <v>1828</v>
      </c>
      <c r="T1374" s="4" t="s">
        <v>1768</v>
      </c>
      <c r="U1374" s="4" t="s">
        <v>73</v>
      </c>
      <c r="V1374" s="5" t="s">
        <v>74</v>
      </c>
      <c r="W1374" s="5" t="s">
        <v>1556</v>
      </c>
      <c r="X1374" s="4" t="s">
        <v>1569</v>
      </c>
      <c r="Y1374" s="4">
        <v>1.7420000000000001E-2</v>
      </c>
      <c r="Z1374" s="4">
        <v>2.1</v>
      </c>
      <c r="AA1374" s="4" t="s">
        <v>77</v>
      </c>
      <c r="AB1374" s="4" t="s">
        <v>114</v>
      </c>
      <c r="AC1374" s="266" t="str">
        <f>HYPERLINK("https://gcsvt.ru/svetodiodnyie-svetilniki/lineynyy-promyshlennyy-svetilnik-fort-1200mm-18vt-optika-15gr-ip65/","Ссылка")</f>
        <v>Ссылка</v>
      </c>
      <c r="AD1374" s="2" t="s">
        <v>2859</v>
      </c>
    </row>
    <row r="1375" spans="1:30" s="12" customFormat="1" ht="39.950000000000003" hidden="1" customHeight="1" outlineLevel="1" x14ac:dyDescent="0.25">
      <c r="A1375" s="5"/>
      <c r="B1375" s="113"/>
      <c r="C1375" s="188" t="s">
        <v>2399</v>
      </c>
      <c r="D1375" s="100">
        <v>1328</v>
      </c>
      <c r="E1375" s="100">
        <v>25</v>
      </c>
      <c r="F1375" s="100">
        <v>53</v>
      </c>
      <c r="G1375" s="100"/>
      <c r="H1375" s="100" t="s">
        <v>1145</v>
      </c>
      <c r="I1375" s="100">
        <v>67</v>
      </c>
      <c r="J1375" s="100" t="s">
        <v>105</v>
      </c>
      <c r="K1375" s="99" t="s">
        <v>2400</v>
      </c>
      <c r="L1375" s="100"/>
      <c r="M1375" s="99" t="s">
        <v>2401</v>
      </c>
      <c r="N1375" s="100" t="s">
        <v>67</v>
      </c>
      <c r="O1375" s="99" t="s">
        <v>68</v>
      </c>
      <c r="P1375" s="100" t="s">
        <v>69</v>
      </c>
      <c r="Q1375" s="99" t="s">
        <v>1790</v>
      </c>
      <c r="R1375" s="100" t="s">
        <v>59</v>
      </c>
      <c r="S1375" s="100" t="s">
        <v>1791</v>
      </c>
      <c r="T1375" s="100" t="s">
        <v>1792</v>
      </c>
      <c r="U1375" s="100" t="s">
        <v>73</v>
      </c>
      <c r="V1375" s="99" t="s">
        <v>1793</v>
      </c>
      <c r="W1375" s="99" t="s">
        <v>112</v>
      </c>
      <c r="X1375" s="100" t="s">
        <v>143</v>
      </c>
      <c r="Y1375" s="100">
        <v>0.01</v>
      </c>
      <c r="Z1375" s="100">
        <v>1.2</v>
      </c>
      <c r="AA1375" s="100" t="s">
        <v>77</v>
      </c>
      <c r="AB1375" s="100" t="s">
        <v>114</v>
      </c>
      <c r="AC1375" s="267" t="str">
        <f>HYPERLINK("https://gcsvt.ru/svetodiodnyie-svetilniki/arkhitekturnyy-nizkovoltnyy-svetilnik-s-dmx-upravleniem-svt-str-rgb-mpro-25w-58-dmx-24v/","Ссылка")</f>
        <v>Ссылка</v>
      </c>
      <c r="AD1375" s="109" t="s">
        <v>2859</v>
      </c>
    </row>
    <row r="1376" spans="1:30" s="4" customFormat="1" ht="39.950000000000003" hidden="1" customHeight="1" outlineLevel="1" x14ac:dyDescent="0.25">
      <c r="A1376" s="5"/>
      <c r="B1376" s="21"/>
      <c r="C1376" s="159" t="s">
        <v>2402</v>
      </c>
      <c r="D1376" s="4">
        <v>50400</v>
      </c>
      <c r="E1376" s="4">
        <v>360</v>
      </c>
      <c r="F1376" s="4">
        <v>140</v>
      </c>
      <c r="H1376" s="4" t="s">
        <v>84</v>
      </c>
      <c r="I1376" s="4">
        <v>67</v>
      </c>
      <c r="J1376" s="4" t="s">
        <v>105</v>
      </c>
      <c r="K1376" s="5" t="s">
        <v>65</v>
      </c>
      <c r="L1376" s="4" t="s">
        <v>3380</v>
      </c>
      <c r="M1376" s="5" t="s">
        <v>506</v>
      </c>
      <c r="N1376" s="4" t="s">
        <v>67</v>
      </c>
      <c r="O1376" s="5" t="s">
        <v>1574</v>
      </c>
      <c r="P1376" s="4" t="s">
        <v>69</v>
      </c>
      <c r="Q1376" s="5" t="s">
        <v>70</v>
      </c>
      <c r="R1376" s="4">
        <v>70</v>
      </c>
      <c r="S1376" s="4" t="s">
        <v>2403</v>
      </c>
      <c r="T1376" s="4" t="s">
        <v>1576</v>
      </c>
      <c r="U1376" s="4" t="s">
        <v>73</v>
      </c>
      <c r="V1376" s="5" t="s">
        <v>74</v>
      </c>
      <c r="W1376" s="5" t="s">
        <v>75</v>
      </c>
      <c r="X1376" s="4" t="s">
        <v>88</v>
      </c>
      <c r="Y1376" s="4">
        <v>0.03</v>
      </c>
      <c r="Z1376" s="4">
        <v>14</v>
      </c>
      <c r="AA1376" s="4" t="s">
        <v>77</v>
      </c>
      <c r="AB1376" s="4" t="s">
        <v>114</v>
      </c>
      <c r="AC1376" s="266" t="str">
        <f>HYPERLINK("https://gcsvt.ru/svetodiodnyie-svetilniki/svt-str-bolid-360w-60/","Ссылка")</f>
        <v>Ссылка</v>
      </c>
      <c r="AD1376" s="2" t="s">
        <v>2859</v>
      </c>
    </row>
    <row r="1377" spans="1:30" s="161" customFormat="1" ht="39.950000000000003" hidden="1" customHeight="1" outlineLevel="1" x14ac:dyDescent="0.25">
      <c r="B1377" s="21"/>
      <c r="C1377" s="159" t="s">
        <v>4239</v>
      </c>
      <c r="D1377" s="161">
        <v>4180</v>
      </c>
      <c r="E1377" s="161">
        <v>36</v>
      </c>
      <c r="F1377" s="167">
        <v>116.11111111111111</v>
      </c>
      <c r="H1377" s="161" t="s">
        <v>138</v>
      </c>
      <c r="I1377" s="161">
        <v>54</v>
      </c>
      <c r="J1377" s="161" t="s">
        <v>105</v>
      </c>
      <c r="K1377" s="21" t="s">
        <v>106</v>
      </c>
      <c r="L1377" s="161" t="s">
        <v>3380</v>
      </c>
      <c r="M1377" s="21" t="s">
        <v>1619</v>
      </c>
      <c r="N1377" s="161" t="s">
        <v>108</v>
      </c>
      <c r="O1377" s="21" t="s">
        <v>2809</v>
      </c>
      <c r="P1377" s="161" t="s">
        <v>109</v>
      </c>
      <c r="Q1377" s="21" t="s">
        <v>1941</v>
      </c>
      <c r="R1377" s="161">
        <v>80</v>
      </c>
      <c r="S1377" s="161" t="s">
        <v>3377</v>
      </c>
      <c r="T1377" s="161" t="s">
        <v>1692</v>
      </c>
      <c r="U1377" s="161" t="s">
        <v>2007</v>
      </c>
      <c r="V1377" s="21" t="s">
        <v>1622</v>
      </c>
      <c r="W1377" s="21" t="s">
        <v>1623</v>
      </c>
      <c r="X1377" s="161" t="s">
        <v>1912</v>
      </c>
      <c r="Z1377" s="161">
        <v>1.2</v>
      </c>
      <c r="AA1377" s="161" t="s">
        <v>1625</v>
      </c>
      <c r="AB1377" s="161" t="s">
        <v>391</v>
      </c>
      <c r="AC1377" s="266" t="str">
        <f>HYPERLINK("https://gcsvt.ru/svetodiodnyie-svetilniki/svt-arm-u-air-595x595x34-36w-ip54-m/","Ссылка")</f>
        <v>Ссылка</v>
      </c>
      <c r="AD1377" s="167">
        <v>2715</v>
      </c>
    </row>
    <row r="1378" spans="1:30" s="161" customFormat="1" ht="39.950000000000003" hidden="1" customHeight="1" outlineLevel="1" x14ac:dyDescent="0.25">
      <c r="B1378" s="21"/>
      <c r="C1378" s="159" t="s">
        <v>4240</v>
      </c>
      <c r="D1378" s="161">
        <v>4180</v>
      </c>
      <c r="E1378" s="161">
        <v>36</v>
      </c>
      <c r="F1378" s="167">
        <v>116.11111111111111</v>
      </c>
      <c r="H1378" s="161" t="s">
        <v>138</v>
      </c>
      <c r="I1378" s="161">
        <v>54</v>
      </c>
      <c r="J1378" s="161" t="s">
        <v>105</v>
      </c>
      <c r="K1378" s="21" t="s">
        <v>106</v>
      </c>
      <c r="L1378" s="161" t="s">
        <v>3380</v>
      </c>
      <c r="M1378" s="21" t="s">
        <v>1619</v>
      </c>
      <c r="N1378" s="161" t="s">
        <v>108</v>
      </c>
      <c r="O1378" s="21" t="s">
        <v>2809</v>
      </c>
      <c r="P1378" s="161" t="s">
        <v>109</v>
      </c>
      <c r="Q1378" s="21" t="s">
        <v>1941</v>
      </c>
      <c r="R1378" s="161">
        <v>80</v>
      </c>
      <c r="S1378" s="161" t="s">
        <v>3377</v>
      </c>
      <c r="T1378" s="161" t="s">
        <v>1692</v>
      </c>
      <c r="U1378" s="161" t="s">
        <v>2007</v>
      </c>
      <c r="V1378" s="21" t="s">
        <v>1622</v>
      </c>
      <c r="W1378" s="21" t="s">
        <v>1623</v>
      </c>
      <c r="X1378" s="161" t="s">
        <v>1912</v>
      </c>
      <c r="Z1378" s="161">
        <v>1.2</v>
      </c>
      <c r="AA1378" s="161" t="s">
        <v>1625</v>
      </c>
      <c r="AB1378" s="161" t="s">
        <v>391</v>
      </c>
      <c r="AC1378" s="266" t="str">
        <f>HYPERLINK("https://gcsvt.ru/svetodiodnyie-svetilniki/svt-arm-u-air-595x595x34-36w-ip54-m/","Ссылка")</f>
        <v>Ссылка</v>
      </c>
      <c r="AD1378" s="167">
        <v>7722</v>
      </c>
    </row>
    <row r="1379" spans="1:30" s="161" customFormat="1" ht="39.950000000000003" hidden="1" customHeight="1" outlineLevel="1" x14ac:dyDescent="0.25">
      <c r="A1379" s="171"/>
      <c r="B1379" s="21"/>
      <c r="C1379" s="159" t="s">
        <v>4241</v>
      </c>
      <c r="D1379" s="161">
        <v>4180</v>
      </c>
      <c r="E1379" s="161">
        <v>36</v>
      </c>
      <c r="F1379" s="161">
        <v>116</v>
      </c>
      <c r="H1379" s="161" t="s">
        <v>138</v>
      </c>
      <c r="I1379" s="161">
        <v>65</v>
      </c>
      <c r="J1379" s="161" t="s">
        <v>105</v>
      </c>
      <c r="K1379" s="21" t="s">
        <v>106</v>
      </c>
      <c r="L1379" s="161" t="s">
        <v>3380</v>
      </c>
      <c r="M1379" s="21" t="s">
        <v>1619</v>
      </c>
      <c r="N1379" s="161" t="s">
        <v>67</v>
      </c>
      <c r="O1379" s="21" t="s">
        <v>1630</v>
      </c>
      <c r="P1379" s="161" t="s">
        <v>109</v>
      </c>
      <c r="Q1379" s="21" t="s">
        <v>1941</v>
      </c>
      <c r="R1379" s="161">
        <v>80</v>
      </c>
      <c r="S1379" s="161" t="s">
        <v>3883</v>
      </c>
      <c r="T1379" s="161" t="s">
        <v>1768</v>
      </c>
      <c r="U1379" s="161" t="s">
        <v>73</v>
      </c>
      <c r="V1379" s="21" t="s">
        <v>1693</v>
      </c>
      <c r="W1379" s="21" t="s">
        <v>1694</v>
      </c>
      <c r="X1379" s="161" t="s">
        <v>3360</v>
      </c>
      <c r="Z1379" s="161">
        <v>2.1</v>
      </c>
      <c r="AA1379" s="161" t="s">
        <v>77</v>
      </c>
      <c r="AB1379" s="161" t="s">
        <v>114</v>
      </c>
      <c r="AC1379" s="228" t="s">
        <v>3852</v>
      </c>
      <c r="AD1379" s="167">
        <v>2964</v>
      </c>
    </row>
    <row r="1380" spans="1:30" s="161" customFormat="1" ht="39.950000000000003" hidden="1" customHeight="1" outlineLevel="1" x14ac:dyDescent="0.25">
      <c r="A1380" s="171"/>
      <c r="B1380" s="21"/>
      <c r="C1380" s="159" t="s">
        <v>4242</v>
      </c>
      <c r="D1380" s="161">
        <v>4180</v>
      </c>
      <c r="E1380" s="161">
        <v>36</v>
      </c>
      <c r="F1380" s="161">
        <v>116</v>
      </c>
      <c r="H1380" s="161" t="s">
        <v>138</v>
      </c>
      <c r="I1380" s="161">
        <v>65</v>
      </c>
      <c r="J1380" s="161" t="s">
        <v>105</v>
      </c>
      <c r="K1380" s="21" t="s">
        <v>106</v>
      </c>
      <c r="L1380" s="161" t="s">
        <v>3380</v>
      </c>
      <c r="M1380" s="21" t="s">
        <v>1619</v>
      </c>
      <c r="N1380" s="161" t="s">
        <v>67</v>
      </c>
      <c r="O1380" s="21" t="s">
        <v>1630</v>
      </c>
      <c r="P1380" s="161" t="s">
        <v>109</v>
      </c>
      <c r="Q1380" s="21" t="s">
        <v>1941</v>
      </c>
      <c r="R1380" s="161">
        <v>80</v>
      </c>
      <c r="S1380" s="161" t="s">
        <v>3883</v>
      </c>
      <c r="T1380" s="161" t="s">
        <v>1768</v>
      </c>
      <c r="U1380" s="161" t="s">
        <v>73</v>
      </c>
      <c r="V1380" s="21" t="s">
        <v>1693</v>
      </c>
      <c r="W1380" s="21" t="s">
        <v>1694</v>
      </c>
      <c r="X1380" s="161" t="s">
        <v>4251</v>
      </c>
      <c r="Z1380" s="161">
        <v>2.1</v>
      </c>
      <c r="AA1380" s="161" t="s">
        <v>77</v>
      </c>
      <c r="AB1380" s="161" t="s">
        <v>114</v>
      </c>
      <c r="AC1380" s="228" t="s">
        <v>3852</v>
      </c>
      <c r="AD1380" s="167">
        <v>7956</v>
      </c>
    </row>
    <row r="1381" spans="1:30" s="4" customFormat="1" ht="39.950000000000003" hidden="1" customHeight="1" outlineLevel="1" x14ac:dyDescent="0.25">
      <c r="A1381" s="5"/>
      <c r="B1381" s="21"/>
      <c r="C1381" s="159" t="s">
        <v>4250</v>
      </c>
      <c r="D1381" s="4">
        <v>1000</v>
      </c>
      <c r="E1381" s="4">
        <v>10</v>
      </c>
      <c r="F1381" s="4">
        <v>100</v>
      </c>
      <c r="H1381" s="161" t="s">
        <v>138</v>
      </c>
      <c r="I1381" s="4">
        <v>20</v>
      </c>
      <c r="J1381" s="4" t="s">
        <v>389</v>
      </c>
      <c r="K1381" s="5" t="s">
        <v>106</v>
      </c>
      <c r="L1381" s="161" t="s">
        <v>3380</v>
      </c>
      <c r="M1381" s="5" t="s">
        <v>2107</v>
      </c>
      <c r="N1381" s="161" t="s">
        <v>67</v>
      </c>
      <c r="O1381" s="21" t="s">
        <v>1630</v>
      </c>
      <c r="P1381" s="4" t="s">
        <v>109</v>
      </c>
      <c r="Q1381" s="21" t="s">
        <v>1941</v>
      </c>
      <c r="R1381" s="4">
        <v>80</v>
      </c>
      <c r="U1381" s="4" t="s">
        <v>2007</v>
      </c>
      <c r="V1381" s="5" t="s">
        <v>1988</v>
      </c>
      <c r="W1381" s="5" t="s">
        <v>4252</v>
      </c>
      <c r="X1381" s="161" t="s">
        <v>4251</v>
      </c>
      <c r="AA1381" s="4" t="s">
        <v>77</v>
      </c>
      <c r="AB1381" s="161" t="s">
        <v>114</v>
      </c>
      <c r="AC1381" s="228" t="s">
        <v>3852</v>
      </c>
      <c r="AD1381" s="2">
        <v>3666</v>
      </c>
    </row>
    <row r="1382" spans="1:30" s="4" customFormat="1" ht="39.950000000000003" hidden="1" customHeight="1" outlineLevel="1" x14ac:dyDescent="0.25">
      <c r="A1382" s="5"/>
      <c r="B1382" s="21"/>
      <c r="C1382" s="159" t="s">
        <v>4243</v>
      </c>
      <c r="D1382" s="4">
        <v>1000</v>
      </c>
      <c r="E1382" s="4">
        <v>10</v>
      </c>
      <c r="F1382" s="4">
        <v>100</v>
      </c>
      <c r="H1382" s="161" t="s">
        <v>138</v>
      </c>
      <c r="I1382" s="4">
        <v>20</v>
      </c>
      <c r="J1382" s="4" t="s">
        <v>389</v>
      </c>
      <c r="K1382" s="5" t="s">
        <v>106</v>
      </c>
      <c r="L1382" s="161" t="s">
        <v>3380</v>
      </c>
      <c r="M1382" s="5" t="s">
        <v>2107</v>
      </c>
      <c r="N1382" s="161" t="s">
        <v>67</v>
      </c>
      <c r="O1382" s="21" t="s">
        <v>1630</v>
      </c>
      <c r="P1382" s="4" t="s">
        <v>109</v>
      </c>
      <c r="Q1382" s="21" t="s">
        <v>1941</v>
      </c>
      <c r="R1382" s="4">
        <v>80</v>
      </c>
      <c r="U1382" s="4" t="s">
        <v>2007</v>
      </c>
      <c r="V1382" s="5" t="s">
        <v>1988</v>
      </c>
      <c r="W1382" s="5" t="s">
        <v>4252</v>
      </c>
      <c r="X1382" s="161" t="s">
        <v>4251</v>
      </c>
      <c r="AA1382" s="4" t="s">
        <v>77</v>
      </c>
      <c r="AB1382" s="161" t="s">
        <v>114</v>
      </c>
      <c r="AC1382" s="228" t="s">
        <v>3852</v>
      </c>
      <c r="AD1382" s="2">
        <v>9392</v>
      </c>
    </row>
    <row r="1383" spans="1:30" s="161" customFormat="1" ht="39.950000000000003" hidden="1" customHeight="1" outlineLevel="1" x14ac:dyDescent="0.25">
      <c r="A1383" s="21"/>
      <c r="B1383" s="21"/>
      <c r="C1383" s="159" t="s">
        <v>4254</v>
      </c>
      <c r="D1383" s="161">
        <v>2950</v>
      </c>
      <c r="E1383" s="161">
        <v>22</v>
      </c>
      <c r="F1383" s="161">
        <v>134</v>
      </c>
      <c r="H1383" s="161" t="s">
        <v>138</v>
      </c>
      <c r="I1383" s="161">
        <v>20</v>
      </c>
      <c r="J1383" s="161" t="s">
        <v>389</v>
      </c>
      <c r="K1383" s="21" t="s">
        <v>106</v>
      </c>
      <c r="L1383" s="161" t="s">
        <v>3380</v>
      </c>
      <c r="M1383" s="21" t="s">
        <v>2107</v>
      </c>
      <c r="N1383" s="161" t="s">
        <v>67</v>
      </c>
      <c r="O1383" s="21" t="s">
        <v>1630</v>
      </c>
      <c r="P1383" s="161" t="s">
        <v>109</v>
      </c>
      <c r="Q1383" s="21" t="s">
        <v>1941</v>
      </c>
      <c r="R1383" s="161">
        <v>80</v>
      </c>
      <c r="S1383" s="161" t="s">
        <v>1564</v>
      </c>
      <c r="T1383" s="161" t="s">
        <v>1960</v>
      </c>
      <c r="U1383" s="161" t="s">
        <v>73</v>
      </c>
      <c r="V1383" s="21" t="s">
        <v>74</v>
      </c>
      <c r="W1383" s="21" t="s">
        <v>1961</v>
      </c>
      <c r="X1383" s="161" t="s">
        <v>4253</v>
      </c>
      <c r="Z1383" s="161">
        <v>1.8</v>
      </c>
      <c r="AA1383" s="161" t="s">
        <v>1933</v>
      </c>
      <c r="AB1383" s="161" t="s">
        <v>114</v>
      </c>
      <c r="AC1383" s="228" t="s">
        <v>3852</v>
      </c>
      <c r="AD1383" s="167">
        <v>5351</v>
      </c>
    </row>
    <row r="1384" spans="1:30" s="161" customFormat="1" ht="39.950000000000003" hidden="1" customHeight="1" outlineLevel="1" x14ac:dyDescent="0.25">
      <c r="A1384" s="21"/>
      <c r="B1384" s="21"/>
      <c r="C1384" s="159" t="s">
        <v>4244</v>
      </c>
      <c r="D1384" s="161">
        <v>2950</v>
      </c>
      <c r="E1384" s="161">
        <v>22</v>
      </c>
      <c r="F1384" s="161">
        <v>134</v>
      </c>
      <c r="H1384" s="161" t="s">
        <v>138</v>
      </c>
      <c r="I1384" s="161">
        <v>20</v>
      </c>
      <c r="J1384" s="161" t="s">
        <v>389</v>
      </c>
      <c r="K1384" s="21" t="s">
        <v>106</v>
      </c>
      <c r="L1384" s="161" t="s">
        <v>3380</v>
      </c>
      <c r="M1384" s="21" t="s">
        <v>2107</v>
      </c>
      <c r="N1384" s="161" t="s">
        <v>67</v>
      </c>
      <c r="O1384" s="21" t="s">
        <v>1630</v>
      </c>
      <c r="P1384" s="161" t="s">
        <v>109</v>
      </c>
      <c r="Q1384" s="21" t="s">
        <v>1941</v>
      </c>
      <c r="R1384" s="161">
        <v>80</v>
      </c>
      <c r="S1384" s="161" t="s">
        <v>1564</v>
      </c>
      <c r="T1384" s="161" t="s">
        <v>1960</v>
      </c>
      <c r="U1384" s="161" t="s">
        <v>73</v>
      </c>
      <c r="V1384" s="21" t="s">
        <v>74</v>
      </c>
      <c r="W1384" s="21" t="s">
        <v>1961</v>
      </c>
      <c r="X1384" s="161" t="s">
        <v>4253</v>
      </c>
      <c r="Z1384" s="161">
        <v>1.8</v>
      </c>
      <c r="AA1384" s="161" t="s">
        <v>1933</v>
      </c>
      <c r="AB1384" s="161" t="s">
        <v>114</v>
      </c>
      <c r="AC1384" s="228" t="s">
        <v>3852</v>
      </c>
      <c r="AD1384" s="167">
        <v>7878</v>
      </c>
    </row>
    <row r="1385" spans="1:30" s="161" customFormat="1" ht="39.950000000000003" hidden="1" customHeight="1" outlineLevel="1" x14ac:dyDescent="0.25">
      <c r="A1385" s="21"/>
      <c r="B1385" s="21"/>
      <c r="C1385" s="159" t="s">
        <v>4245</v>
      </c>
      <c r="D1385" s="161">
        <v>4180</v>
      </c>
      <c r="E1385" s="161">
        <v>36</v>
      </c>
      <c r="F1385" s="161">
        <v>116</v>
      </c>
      <c r="H1385" s="161" t="s">
        <v>138</v>
      </c>
      <c r="I1385" s="161">
        <v>54</v>
      </c>
      <c r="J1385" s="161" t="s">
        <v>389</v>
      </c>
      <c r="K1385" s="21" t="s">
        <v>106</v>
      </c>
      <c r="L1385" s="161" t="s">
        <v>1618</v>
      </c>
      <c r="M1385" s="21" t="s">
        <v>1619</v>
      </c>
      <c r="N1385" s="161" t="s">
        <v>108</v>
      </c>
      <c r="O1385" s="21" t="s">
        <v>1630</v>
      </c>
      <c r="P1385" s="161" t="s">
        <v>109</v>
      </c>
      <c r="Q1385" s="21" t="s">
        <v>1941</v>
      </c>
      <c r="R1385" s="161">
        <v>80</v>
      </c>
      <c r="S1385" s="161" t="s">
        <v>1621</v>
      </c>
      <c r="T1385" s="161" t="s">
        <v>141</v>
      </c>
      <c r="U1385" s="161" t="s">
        <v>2007</v>
      </c>
      <c r="V1385" s="21" t="s">
        <v>1622</v>
      </c>
      <c r="W1385" s="21" t="s">
        <v>1623</v>
      </c>
      <c r="X1385" s="161" t="s">
        <v>1624</v>
      </c>
      <c r="Z1385" s="161">
        <v>1.2</v>
      </c>
      <c r="AA1385" s="161" t="s">
        <v>1625</v>
      </c>
      <c r="AB1385" s="161" t="s">
        <v>1626</v>
      </c>
      <c r="AC1385" s="228" t="s">
        <v>3852</v>
      </c>
      <c r="AD1385" s="167">
        <v>3105</v>
      </c>
    </row>
    <row r="1386" spans="1:30" s="161" customFormat="1" ht="39.950000000000003" hidden="1" customHeight="1" outlineLevel="1" x14ac:dyDescent="0.25">
      <c r="A1386" s="21"/>
      <c r="B1386" s="21"/>
      <c r="C1386" s="159" t="s">
        <v>4246</v>
      </c>
      <c r="D1386" s="161">
        <v>4180</v>
      </c>
      <c r="E1386" s="161">
        <v>36</v>
      </c>
      <c r="F1386" s="161">
        <v>116</v>
      </c>
      <c r="H1386" s="161" t="s">
        <v>138</v>
      </c>
      <c r="I1386" s="161">
        <v>54</v>
      </c>
      <c r="J1386" s="161" t="s">
        <v>389</v>
      </c>
      <c r="K1386" s="21" t="s">
        <v>106</v>
      </c>
      <c r="L1386" s="161" t="s">
        <v>1618</v>
      </c>
      <c r="M1386" s="21" t="s">
        <v>1619</v>
      </c>
      <c r="N1386" s="161" t="s">
        <v>108</v>
      </c>
      <c r="O1386" s="21" t="s">
        <v>1630</v>
      </c>
      <c r="P1386" s="161" t="s">
        <v>109</v>
      </c>
      <c r="Q1386" s="21" t="s">
        <v>1941</v>
      </c>
      <c r="R1386" s="161">
        <v>80</v>
      </c>
      <c r="S1386" s="161" t="s">
        <v>1621</v>
      </c>
      <c r="T1386" s="161" t="s">
        <v>141</v>
      </c>
      <c r="U1386" s="161" t="s">
        <v>2007</v>
      </c>
      <c r="V1386" s="21" t="s">
        <v>1622</v>
      </c>
      <c r="W1386" s="21" t="s">
        <v>1623</v>
      </c>
      <c r="X1386" s="161" t="s">
        <v>1624</v>
      </c>
      <c r="Z1386" s="161">
        <v>1.2</v>
      </c>
      <c r="AA1386" s="161" t="s">
        <v>1625</v>
      </c>
      <c r="AB1386" s="161" t="s">
        <v>1626</v>
      </c>
      <c r="AC1386" s="228" t="s">
        <v>3852</v>
      </c>
      <c r="AD1386" s="167">
        <v>7286</v>
      </c>
    </row>
    <row r="1387" spans="1:30" s="161" customFormat="1" ht="39.950000000000003" hidden="1" customHeight="1" outlineLevel="1" x14ac:dyDescent="0.25">
      <c r="A1387" s="21"/>
      <c r="B1387" s="21"/>
      <c r="C1387" s="159" t="s">
        <v>4247</v>
      </c>
      <c r="D1387" s="161">
        <v>4180</v>
      </c>
      <c r="E1387" s="161">
        <v>36</v>
      </c>
      <c r="F1387" s="161">
        <v>116</v>
      </c>
      <c r="H1387" s="161" t="s">
        <v>138</v>
      </c>
      <c r="I1387" s="161">
        <v>20</v>
      </c>
      <c r="J1387" s="161" t="s">
        <v>105</v>
      </c>
      <c r="K1387" s="21" t="s">
        <v>106</v>
      </c>
      <c r="L1387" s="161" t="s">
        <v>3380</v>
      </c>
      <c r="M1387" s="21" t="s">
        <v>2107</v>
      </c>
      <c r="N1387" s="161" t="s">
        <v>67</v>
      </c>
      <c r="O1387" s="21" t="s">
        <v>1630</v>
      </c>
      <c r="P1387" s="161" t="s">
        <v>109</v>
      </c>
      <c r="Q1387" s="21" t="s">
        <v>1941</v>
      </c>
      <c r="R1387" s="161">
        <v>80</v>
      </c>
      <c r="S1387" s="161" t="s">
        <v>2787</v>
      </c>
      <c r="T1387" s="161" t="s">
        <v>2785</v>
      </c>
      <c r="U1387" s="161" t="s">
        <v>2007</v>
      </c>
      <c r="V1387" s="21" t="s">
        <v>1931</v>
      </c>
      <c r="W1387" s="21" t="s">
        <v>1954</v>
      </c>
      <c r="X1387" s="161" t="s">
        <v>2947</v>
      </c>
      <c r="Z1387" s="161">
        <v>3.19</v>
      </c>
      <c r="AA1387" s="161" t="s">
        <v>1933</v>
      </c>
      <c r="AB1387" s="161" t="s">
        <v>114</v>
      </c>
      <c r="AC1387" s="228" t="s">
        <v>3852</v>
      </c>
      <c r="AD1387" s="167">
        <v>4368</v>
      </c>
    </row>
    <row r="1388" spans="1:30" s="161" customFormat="1" ht="39.950000000000003" hidden="1" customHeight="1" outlineLevel="1" x14ac:dyDescent="0.25">
      <c r="A1388" s="21"/>
      <c r="B1388" s="21"/>
      <c r="C1388" s="159" t="s">
        <v>4248</v>
      </c>
      <c r="D1388" s="161">
        <v>4180</v>
      </c>
      <c r="E1388" s="161">
        <v>36</v>
      </c>
      <c r="F1388" s="161">
        <v>116</v>
      </c>
      <c r="H1388" s="161" t="s">
        <v>138</v>
      </c>
      <c r="I1388" s="161">
        <v>20</v>
      </c>
      <c r="J1388" s="161" t="s">
        <v>105</v>
      </c>
      <c r="K1388" s="21" t="s">
        <v>106</v>
      </c>
      <c r="L1388" s="161" t="s">
        <v>3380</v>
      </c>
      <c r="M1388" s="21" t="s">
        <v>2107</v>
      </c>
      <c r="N1388" s="161" t="s">
        <v>67</v>
      </c>
      <c r="O1388" s="21" t="s">
        <v>1630</v>
      </c>
      <c r="P1388" s="161" t="s">
        <v>109</v>
      </c>
      <c r="Q1388" s="21" t="s">
        <v>1941</v>
      </c>
      <c r="R1388" s="161">
        <v>80</v>
      </c>
      <c r="S1388" s="161" t="s">
        <v>2787</v>
      </c>
      <c r="T1388" s="161" t="s">
        <v>2785</v>
      </c>
      <c r="U1388" s="161" t="s">
        <v>2007</v>
      </c>
      <c r="V1388" s="21" t="s">
        <v>1931</v>
      </c>
      <c r="W1388" s="21" t="s">
        <v>1954</v>
      </c>
      <c r="X1388" s="161" t="s">
        <v>2947</v>
      </c>
      <c r="Z1388" s="161">
        <v>3.19</v>
      </c>
      <c r="AA1388" s="161" t="s">
        <v>1933</v>
      </c>
      <c r="AB1388" s="161" t="s">
        <v>114</v>
      </c>
      <c r="AC1388" s="228" t="s">
        <v>3852</v>
      </c>
      <c r="AD1388" s="167">
        <v>8534</v>
      </c>
    </row>
    <row r="1389" spans="1:30" s="146" customFormat="1" ht="39.950000000000003" hidden="1" customHeight="1" outlineLevel="1" x14ac:dyDescent="0.25">
      <c r="B1389" s="21"/>
      <c r="C1389" s="157" t="s">
        <v>4239</v>
      </c>
      <c r="D1389" s="146">
        <v>4180</v>
      </c>
      <c r="E1389" s="146">
        <v>36</v>
      </c>
      <c r="F1389" s="237">
        <v>116.11111111111111</v>
      </c>
      <c r="H1389" s="146" t="s">
        <v>138</v>
      </c>
      <c r="I1389" s="146">
        <v>54</v>
      </c>
      <c r="J1389" s="146" t="s">
        <v>105</v>
      </c>
      <c r="K1389" s="114" t="s">
        <v>106</v>
      </c>
      <c r="L1389" s="146" t="s">
        <v>3380</v>
      </c>
      <c r="M1389" s="114" t="s">
        <v>1619</v>
      </c>
      <c r="N1389" s="146" t="s">
        <v>108</v>
      </c>
      <c r="O1389" s="21" t="s">
        <v>1630</v>
      </c>
      <c r="P1389" s="146" t="s">
        <v>109</v>
      </c>
      <c r="Q1389" s="114" t="s">
        <v>1941</v>
      </c>
      <c r="R1389" s="146">
        <v>80</v>
      </c>
      <c r="S1389" s="146" t="s">
        <v>3377</v>
      </c>
      <c r="T1389" s="146" t="s">
        <v>1692</v>
      </c>
      <c r="U1389" s="146" t="s">
        <v>2007</v>
      </c>
      <c r="V1389" s="114" t="s">
        <v>1622</v>
      </c>
      <c r="W1389" s="114" t="s">
        <v>1623</v>
      </c>
      <c r="X1389" s="146" t="s">
        <v>1912</v>
      </c>
      <c r="Z1389" s="146">
        <v>1.2</v>
      </c>
      <c r="AA1389" s="146" t="s">
        <v>1625</v>
      </c>
      <c r="AB1389" s="146" t="s">
        <v>391</v>
      </c>
      <c r="AC1389" s="236" t="s">
        <v>3852</v>
      </c>
      <c r="AD1389" s="237">
        <v>2730</v>
      </c>
    </row>
    <row r="1390" spans="1:30" s="161" customFormat="1" ht="39.950000000000003" hidden="1" customHeight="1" outlineLevel="1" x14ac:dyDescent="0.25">
      <c r="B1390" s="21"/>
      <c r="C1390" s="159" t="s">
        <v>4240</v>
      </c>
      <c r="D1390" s="161">
        <v>4180</v>
      </c>
      <c r="E1390" s="161">
        <v>36</v>
      </c>
      <c r="F1390" s="167">
        <v>116.11111111111111</v>
      </c>
      <c r="H1390" s="161" t="s">
        <v>138</v>
      </c>
      <c r="I1390" s="161">
        <v>54</v>
      </c>
      <c r="J1390" s="161" t="s">
        <v>105</v>
      </c>
      <c r="K1390" s="21" t="s">
        <v>106</v>
      </c>
      <c r="L1390" s="161" t="s">
        <v>3380</v>
      </c>
      <c r="M1390" s="21" t="s">
        <v>1619</v>
      </c>
      <c r="N1390" s="161" t="s">
        <v>108</v>
      </c>
      <c r="O1390" s="21" t="s">
        <v>1630</v>
      </c>
      <c r="P1390" s="161" t="s">
        <v>109</v>
      </c>
      <c r="Q1390" s="21" t="s">
        <v>1941</v>
      </c>
      <c r="R1390" s="161">
        <v>80</v>
      </c>
      <c r="S1390" s="161" t="s">
        <v>3377</v>
      </c>
      <c r="T1390" s="161" t="s">
        <v>1692</v>
      </c>
      <c r="U1390" s="161" t="s">
        <v>2007</v>
      </c>
      <c r="V1390" s="21" t="s">
        <v>1622</v>
      </c>
      <c r="W1390" s="21" t="s">
        <v>1623</v>
      </c>
      <c r="X1390" s="161" t="s">
        <v>1912</v>
      </c>
      <c r="Z1390" s="161">
        <v>1.2</v>
      </c>
      <c r="AA1390" s="161" t="s">
        <v>1625</v>
      </c>
      <c r="AB1390" s="161" t="s">
        <v>391</v>
      </c>
      <c r="AC1390" s="228" t="s">
        <v>3852</v>
      </c>
      <c r="AD1390" s="167">
        <v>7722</v>
      </c>
    </row>
    <row r="1391" spans="1:30" s="4" customFormat="1" ht="39.950000000000003" hidden="1" customHeight="1" outlineLevel="1" x14ac:dyDescent="0.25">
      <c r="A1391" s="5"/>
      <c r="B1391" s="21"/>
      <c r="C1391" s="157" t="s">
        <v>4249</v>
      </c>
      <c r="D1391" s="4">
        <v>2160</v>
      </c>
      <c r="E1391" s="4">
        <v>18</v>
      </c>
      <c r="F1391" s="4">
        <v>120</v>
      </c>
      <c r="H1391" s="4" t="s">
        <v>138</v>
      </c>
      <c r="I1391" s="4">
        <v>65</v>
      </c>
      <c r="J1391" s="4" t="s">
        <v>389</v>
      </c>
      <c r="K1391" s="5" t="s">
        <v>106</v>
      </c>
      <c r="L1391" s="4">
        <v>0.95</v>
      </c>
      <c r="M1391" s="5" t="s">
        <v>2326</v>
      </c>
      <c r="N1391" s="4" t="s">
        <v>67</v>
      </c>
      <c r="O1391" s="5" t="s">
        <v>1630</v>
      </c>
      <c r="P1391" s="4" t="s">
        <v>109</v>
      </c>
      <c r="Q1391" s="5" t="s">
        <v>1720</v>
      </c>
      <c r="R1391" s="4">
        <v>80</v>
      </c>
      <c r="S1391" s="4" t="s">
        <v>3136</v>
      </c>
      <c r="U1391" s="4" t="s">
        <v>73</v>
      </c>
      <c r="V1391" s="5" t="s">
        <v>3480</v>
      </c>
      <c r="W1391" s="5" t="s">
        <v>2327</v>
      </c>
      <c r="X1391" s="4" t="s">
        <v>3184</v>
      </c>
      <c r="Z1391" s="4">
        <v>0.6</v>
      </c>
      <c r="AA1391" s="4" t="s">
        <v>77</v>
      </c>
      <c r="AB1391" s="4" t="s">
        <v>114</v>
      </c>
      <c r="AC1391" s="228" t="s">
        <v>3852</v>
      </c>
      <c r="AD1391" s="88">
        <v>2652</v>
      </c>
    </row>
    <row r="1392" spans="1:30" s="4" customFormat="1" ht="39.950000000000003" hidden="1" customHeight="1" outlineLevel="1" x14ac:dyDescent="0.25">
      <c r="A1392" s="5"/>
      <c r="B1392" s="21"/>
      <c r="C1392" s="159" t="s">
        <v>4255</v>
      </c>
      <c r="D1392" s="4">
        <v>670</v>
      </c>
      <c r="E1392" s="4">
        <v>8</v>
      </c>
      <c r="F1392" s="4">
        <v>83</v>
      </c>
      <c r="H1392" s="4" t="s">
        <v>138</v>
      </c>
      <c r="I1392" s="4">
        <v>54</v>
      </c>
      <c r="J1392" s="4" t="s">
        <v>389</v>
      </c>
      <c r="K1392" s="5" t="s">
        <v>1718</v>
      </c>
      <c r="M1392" s="5" t="s">
        <v>2326</v>
      </c>
      <c r="N1392" s="4" t="s">
        <v>108</v>
      </c>
      <c r="O1392" s="5" t="s">
        <v>2334</v>
      </c>
      <c r="P1392" s="4">
        <v>0.86</v>
      </c>
      <c r="Q1392" s="5" t="s">
        <v>2288</v>
      </c>
      <c r="R1392" s="4">
        <v>80</v>
      </c>
      <c r="S1392" s="4" t="s">
        <v>2335</v>
      </c>
      <c r="U1392" s="4" t="s">
        <v>73</v>
      </c>
      <c r="V1392" s="5" t="s">
        <v>1622</v>
      </c>
      <c r="W1392" s="5" t="s">
        <v>2327</v>
      </c>
      <c r="X1392" s="4" t="s">
        <v>2336</v>
      </c>
      <c r="Z1392" s="4">
        <v>0.2</v>
      </c>
      <c r="AA1392" s="4" t="s">
        <v>77</v>
      </c>
      <c r="AB1392" s="4" t="s">
        <v>1726</v>
      </c>
      <c r="AC1392" s="228" t="s">
        <v>3852</v>
      </c>
      <c r="AD1392" s="88">
        <v>1092</v>
      </c>
    </row>
    <row r="1393" spans="1:30" s="4" customFormat="1" ht="39.950000000000003" customHeight="1" collapsed="1" x14ac:dyDescent="0.25">
      <c r="A1393" s="5"/>
      <c r="B1393" s="243" t="s">
        <v>3851</v>
      </c>
      <c r="C1393" s="159"/>
      <c r="K1393" s="5"/>
      <c r="M1393" s="5"/>
      <c r="O1393" s="5"/>
      <c r="Q1393" s="5"/>
      <c r="V1393" s="5"/>
      <c r="W1393" s="5"/>
      <c r="AC1393" s="244"/>
      <c r="AD1393" s="88"/>
    </row>
    <row r="1394" spans="1:30" s="4" customFormat="1" ht="39.950000000000003" hidden="1" customHeight="1" outlineLevel="1" x14ac:dyDescent="0.25">
      <c r="A1394" s="5"/>
      <c r="B1394" s="21" t="s">
        <v>503</v>
      </c>
      <c r="C1394" s="159" t="s">
        <v>504</v>
      </c>
      <c r="D1394" s="4">
        <v>7790</v>
      </c>
      <c r="E1394" s="4">
        <v>46</v>
      </c>
      <c r="F1394" s="4">
        <v>169</v>
      </c>
      <c r="G1394" s="4" t="s">
        <v>505</v>
      </c>
      <c r="H1394" s="4" t="s">
        <v>138</v>
      </c>
      <c r="I1394" s="4">
        <v>67</v>
      </c>
      <c r="J1394" s="4" t="s">
        <v>64</v>
      </c>
      <c r="K1394" s="5" t="s">
        <v>65</v>
      </c>
      <c r="L1394" s="4" t="s">
        <v>3380</v>
      </c>
      <c r="M1394" s="5" t="s">
        <v>506</v>
      </c>
      <c r="N1394" s="4" t="s">
        <v>67</v>
      </c>
      <c r="O1394" s="5" t="s">
        <v>139</v>
      </c>
      <c r="P1394" s="4" t="s">
        <v>69</v>
      </c>
      <c r="Q1394" s="5" t="s">
        <v>70</v>
      </c>
      <c r="R1394" s="4">
        <v>80</v>
      </c>
      <c r="S1394" s="4" t="s">
        <v>147</v>
      </c>
      <c r="T1394" s="4" t="s">
        <v>141</v>
      </c>
      <c r="U1394" s="4" t="s">
        <v>73</v>
      </c>
      <c r="V1394" s="5" t="s">
        <v>74</v>
      </c>
      <c r="W1394" s="5" t="s">
        <v>112</v>
      </c>
      <c r="X1394" s="4" t="s">
        <v>148</v>
      </c>
      <c r="Y1394" s="4">
        <v>0.01</v>
      </c>
      <c r="Z1394" s="4">
        <v>1.8</v>
      </c>
      <c r="AA1394" s="4" t="s">
        <v>77</v>
      </c>
      <c r="AB1394" s="4" t="s">
        <v>114</v>
      </c>
      <c r="AC1394" s="228" t="e">
        <f>HYPERLINK(#REF!,"ССЫЛКА")</f>
        <v>#REF!</v>
      </c>
      <c r="AD1394" s="2" t="s">
        <v>2859</v>
      </c>
    </row>
    <row r="1395" spans="1:30" s="4" customFormat="1" ht="39.950000000000003" hidden="1" customHeight="1" outlineLevel="1" x14ac:dyDescent="0.25">
      <c r="A1395" s="5"/>
      <c r="B1395" s="21" t="s">
        <v>503</v>
      </c>
      <c r="C1395" s="159" t="s">
        <v>507</v>
      </c>
      <c r="D1395" s="4">
        <v>9940</v>
      </c>
      <c r="E1395" s="4">
        <v>58</v>
      </c>
      <c r="F1395" s="4">
        <v>171</v>
      </c>
      <c r="G1395" s="4" t="s">
        <v>508</v>
      </c>
      <c r="H1395" s="4" t="s">
        <v>138</v>
      </c>
      <c r="I1395" s="4">
        <v>67</v>
      </c>
      <c r="J1395" s="4" t="s">
        <v>64</v>
      </c>
      <c r="K1395" s="5" t="s">
        <v>65</v>
      </c>
      <c r="L1395" s="4" t="s">
        <v>3380</v>
      </c>
      <c r="M1395" s="5" t="s">
        <v>506</v>
      </c>
      <c r="N1395" s="4" t="s">
        <v>67</v>
      </c>
      <c r="O1395" s="5" t="s">
        <v>139</v>
      </c>
      <c r="P1395" s="4" t="s">
        <v>69</v>
      </c>
      <c r="Q1395" s="5" t="s">
        <v>70</v>
      </c>
      <c r="R1395" s="4">
        <v>80</v>
      </c>
      <c r="S1395" s="4" t="s">
        <v>151</v>
      </c>
      <c r="T1395" s="4" t="s">
        <v>141</v>
      </c>
      <c r="U1395" s="4" t="s">
        <v>73</v>
      </c>
      <c r="V1395" s="5" t="s">
        <v>74</v>
      </c>
      <c r="W1395" s="5" t="s">
        <v>112</v>
      </c>
      <c r="X1395" s="4" t="s">
        <v>152</v>
      </c>
      <c r="Y1395" s="4">
        <v>0.01</v>
      </c>
      <c r="Z1395" s="4">
        <v>2</v>
      </c>
      <c r="AA1395" s="4" t="s">
        <v>77</v>
      </c>
      <c r="AB1395" s="4" t="s">
        <v>114</v>
      </c>
      <c r="AC1395" s="228" t="e">
        <f>HYPERLINK(#REF!,"ССЫЛКА")</f>
        <v>#REF!</v>
      </c>
      <c r="AD1395" s="2" t="s">
        <v>2859</v>
      </c>
    </row>
    <row r="1396" spans="1:30" s="4" customFormat="1" ht="39.950000000000003" hidden="1" customHeight="1" outlineLevel="1" x14ac:dyDescent="0.25">
      <c r="A1396" s="5"/>
      <c r="B1396" s="21" t="s">
        <v>503</v>
      </c>
      <c r="C1396" s="159" t="s">
        <v>509</v>
      </c>
      <c r="D1396" s="4">
        <v>15690</v>
      </c>
      <c r="E1396" s="4">
        <v>91</v>
      </c>
      <c r="F1396" s="4">
        <v>172</v>
      </c>
      <c r="G1396" s="4" t="s">
        <v>510</v>
      </c>
      <c r="H1396" s="4" t="s">
        <v>138</v>
      </c>
      <c r="I1396" s="4">
        <v>67</v>
      </c>
      <c r="J1396" s="4" t="s">
        <v>64</v>
      </c>
      <c r="K1396" s="5" t="s">
        <v>65</v>
      </c>
      <c r="L1396" s="4" t="s">
        <v>3380</v>
      </c>
      <c r="M1396" s="5" t="s">
        <v>506</v>
      </c>
      <c r="N1396" s="4" t="s">
        <v>67</v>
      </c>
      <c r="O1396" s="5" t="s">
        <v>139</v>
      </c>
      <c r="P1396" s="4" t="s">
        <v>69</v>
      </c>
      <c r="Q1396" s="5" t="s">
        <v>70</v>
      </c>
      <c r="R1396" s="4">
        <v>80</v>
      </c>
      <c r="S1396" s="4" t="s">
        <v>155</v>
      </c>
      <c r="T1396" s="4" t="s">
        <v>141</v>
      </c>
      <c r="U1396" s="4" t="s">
        <v>73</v>
      </c>
      <c r="V1396" s="5" t="s">
        <v>74</v>
      </c>
      <c r="W1396" s="5" t="s">
        <v>112</v>
      </c>
      <c r="X1396" s="4" t="s">
        <v>156</v>
      </c>
      <c r="Y1396" s="4">
        <v>0.01</v>
      </c>
      <c r="Z1396" s="4">
        <v>2.8</v>
      </c>
      <c r="AA1396" s="4" t="s">
        <v>77</v>
      </c>
      <c r="AB1396" s="4" t="s">
        <v>114</v>
      </c>
      <c r="AC1396" s="228" t="e">
        <f>HYPERLINK(#REF!,"ССЫЛКА")</f>
        <v>#REF!</v>
      </c>
      <c r="AD1396" s="2" t="s">
        <v>2859</v>
      </c>
    </row>
    <row r="1397" spans="1:30" s="4" customFormat="1" ht="39.950000000000003" hidden="1" customHeight="1" outlineLevel="1" x14ac:dyDescent="0.25">
      <c r="A1397" s="5"/>
      <c r="B1397" s="21" t="s">
        <v>503</v>
      </c>
      <c r="C1397" s="159" t="s">
        <v>511</v>
      </c>
      <c r="D1397" s="4">
        <v>7790</v>
      </c>
      <c r="E1397" s="4">
        <v>46</v>
      </c>
      <c r="F1397" s="4">
        <v>169</v>
      </c>
      <c r="G1397" s="4" t="s">
        <v>512</v>
      </c>
      <c r="H1397" s="4" t="s">
        <v>138</v>
      </c>
      <c r="I1397" s="4">
        <v>67</v>
      </c>
      <c r="J1397" s="4" t="s">
        <v>64</v>
      </c>
      <c r="K1397" s="5" t="s">
        <v>65</v>
      </c>
      <c r="L1397" s="4" t="s">
        <v>3380</v>
      </c>
      <c r="M1397" s="5" t="s">
        <v>506</v>
      </c>
      <c r="N1397" s="4" t="s">
        <v>67</v>
      </c>
      <c r="O1397" s="5" t="s">
        <v>139</v>
      </c>
      <c r="P1397" s="4" t="s">
        <v>69</v>
      </c>
      <c r="Q1397" s="5" t="s">
        <v>70</v>
      </c>
      <c r="R1397" s="4">
        <v>80</v>
      </c>
      <c r="S1397" s="4" t="s">
        <v>147</v>
      </c>
      <c r="T1397" s="4" t="s">
        <v>141</v>
      </c>
      <c r="U1397" s="4" t="s">
        <v>73</v>
      </c>
      <c r="V1397" s="5" t="s">
        <v>74</v>
      </c>
      <c r="W1397" s="5" t="s">
        <v>160</v>
      </c>
      <c r="X1397" s="4" t="s">
        <v>164</v>
      </c>
      <c r="Y1397" s="4">
        <v>0.01</v>
      </c>
      <c r="Z1397" s="4">
        <v>1.8</v>
      </c>
      <c r="AA1397" s="4" t="s">
        <v>77</v>
      </c>
      <c r="AB1397" s="4" t="s">
        <v>114</v>
      </c>
      <c r="AC1397" s="228" t="e">
        <f>HYPERLINK(#REF!,"ССЫЛКА")</f>
        <v>#REF!</v>
      </c>
      <c r="AD1397" s="2" t="s">
        <v>2859</v>
      </c>
    </row>
    <row r="1398" spans="1:30" s="4" customFormat="1" ht="39.950000000000003" hidden="1" customHeight="1" outlineLevel="1" x14ac:dyDescent="0.25">
      <c r="A1398" s="5"/>
      <c r="B1398" s="21" t="s">
        <v>503</v>
      </c>
      <c r="C1398" s="159" t="s">
        <v>513</v>
      </c>
      <c r="D1398" s="4">
        <v>9940</v>
      </c>
      <c r="E1398" s="4">
        <v>58</v>
      </c>
      <c r="F1398" s="4">
        <v>171</v>
      </c>
      <c r="G1398" s="4" t="s">
        <v>514</v>
      </c>
      <c r="H1398" s="4" t="s">
        <v>138</v>
      </c>
      <c r="I1398" s="4">
        <v>67</v>
      </c>
      <c r="J1398" s="4" t="s">
        <v>64</v>
      </c>
      <c r="K1398" s="5" t="s">
        <v>65</v>
      </c>
      <c r="L1398" s="4" t="s">
        <v>3380</v>
      </c>
      <c r="M1398" s="5" t="s">
        <v>506</v>
      </c>
      <c r="N1398" s="4" t="s">
        <v>67</v>
      </c>
      <c r="O1398" s="5" t="s">
        <v>139</v>
      </c>
      <c r="P1398" s="4" t="s">
        <v>69</v>
      </c>
      <c r="Q1398" s="5" t="s">
        <v>70</v>
      </c>
      <c r="R1398" s="4">
        <v>80</v>
      </c>
      <c r="S1398" s="4" t="s">
        <v>151</v>
      </c>
      <c r="T1398" s="4" t="s">
        <v>141</v>
      </c>
      <c r="U1398" s="4" t="s">
        <v>73</v>
      </c>
      <c r="V1398" s="5" t="s">
        <v>74</v>
      </c>
      <c r="W1398" s="5" t="s">
        <v>160</v>
      </c>
      <c r="X1398" s="4" t="s">
        <v>167</v>
      </c>
      <c r="Y1398" s="4">
        <v>0.01</v>
      </c>
      <c r="Z1398" s="4">
        <v>2</v>
      </c>
      <c r="AA1398" s="4" t="s">
        <v>77</v>
      </c>
      <c r="AB1398" s="4" t="s">
        <v>114</v>
      </c>
      <c r="AC1398" s="228" t="e">
        <f>HYPERLINK(#REF!,"ССЫЛКА")</f>
        <v>#REF!</v>
      </c>
      <c r="AD1398" s="2" t="s">
        <v>2859</v>
      </c>
    </row>
    <row r="1399" spans="1:30" s="4" customFormat="1" ht="39.950000000000003" hidden="1" customHeight="1" outlineLevel="1" x14ac:dyDescent="0.25">
      <c r="A1399" s="5"/>
      <c r="B1399" s="21" t="s">
        <v>503</v>
      </c>
      <c r="C1399" s="159" t="s">
        <v>515</v>
      </c>
      <c r="D1399" s="4">
        <v>15690</v>
      </c>
      <c r="E1399" s="4">
        <v>91</v>
      </c>
      <c r="F1399" s="4">
        <v>172</v>
      </c>
      <c r="G1399" s="4" t="s">
        <v>516</v>
      </c>
      <c r="H1399" s="4" t="s">
        <v>138</v>
      </c>
      <c r="I1399" s="4">
        <v>67</v>
      </c>
      <c r="J1399" s="4" t="s">
        <v>64</v>
      </c>
      <c r="K1399" s="5" t="s">
        <v>65</v>
      </c>
      <c r="L1399" s="4" t="s">
        <v>3380</v>
      </c>
      <c r="M1399" s="5" t="s">
        <v>506</v>
      </c>
      <c r="N1399" s="4" t="s">
        <v>67</v>
      </c>
      <c r="O1399" s="5" t="s">
        <v>139</v>
      </c>
      <c r="P1399" s="4" t="s">
        <v>69</v>
      </c>
      <c r="Q1399" s="5" t="s">
        <v>70</v>
      </c>
      <c r="R1399" s="4">
        <v>80</v>
      </c>
      <c r="S1399" s="4" t="s">
        <v>155</v>
      </c>
      <c r="T1399" s="4" t="s">
        <v>141</v>
      </c>
      <c r="U1399" s="4" t="s">
        <v>73</v>
      </c>
      <c r="V1399" s="5" t="s">
        <v>74</v>
      </c>
      <c r="W1399" s="5" t="s">
        <v>160</v>
      </c>
      <c r="X1399" s="4" t="s">
        <v>170</v>
      </c>
      <c r="Y1399" s="4">
        <v>0.01</v>
      </c>
      <c r="Z1399" s="4">
        <v>2.8</v>
      </c>
      <c r="AA1399" s="4" t="s">
        <v>77</v>
      </c>
      <c r="AB1399" s="4" t="s">
        <v>114</v>
      </c>
      <c r="AC1399" s="228" t="e">
        <f>HYPERLINK(#REF!,"ССЫЛКА")</f>
        <v>#REF!</v>
      </c>
      <c r="AD1399" s="2" t="s">
        <v>2859</v>
      </c>
    </row>
    <row r="1400" spans="1:30" s="12" customFormat="1" ht="39.950000000000003" hidden="1" customHeight="1" outlineLevel="1" x14ac:dyDescent="0.25">
      <c r="A1400" s="5"/>
      <c r="B1400" s="21" t="s">
        <v>503</v>
      </c>
      <c r="C1400" s="159" t="s">
        <v>517</v>
      </c>
      <c r="D1400" s="4">
        <v>8180</v>
      </c>
      <c r="E1400" s="4">
        <v>50</v>
      </c>
      <c r="F1400" s="4">
        <v>163</v>
      </c>
      <c r="G1400" s="4" t="s">
        <v>518</v>
      </c>
      <c r="H1400" s="4" t="s">
        <v>63</v>
      </c>
      <c r="I1400" s="4">
        <v>67</v>
      </c>
      <c r="J1400" s="4" t="s">
        <v>64</v>
      </c>
      <c r="K1400" s="5" t="s">
        <v>65</v>
      </c>
      <c r="L1400" s="4" t="s">
        <v>3380</v>
      </c>
      <c r="M1400" s="5" t="s">
        <v>506</v>
      </c>
      <c r="N1400" s="4" t="s">
        <v>67</v>
      </c>
      <c r="O1400" s="5" t="s">
        <v>68</v>
      </c>
      <c r="P1400" s="4" t="s">
        <v>69</v>
      </c>
      <c r="Q1400" s="5" t="s">
        <v>70</v>
      </c>
      <c r="R1400" s="4">
        <v>70</v>
      </c>
      <c r="S1400" s="4" t="s">
        <v>197</v>
      </c>
      <c r="T1400" s="4" t="s">
        <v>174</v>
      </c>
      <c r="U1400" s="4" t="s">
        <v>73</v>
      </c>
      <c r="V1400" s="5" t="s">
        <v>74</v>
      </c>
      <c r="W1400" s="5" t="s">
        <v>160</v>
      </c>
      <c r="X1400" s="4" t="s">
        <v>198</v>
      </c>
      <c r="Y1400" s="4">
        <v>0.01</v>
      </c>
      <c r="Z1400" s="4">
        <v>2</v>
      </c>
      <c r="AA1400" s="4" t="s">
        <v>77</v>
      </c>
      <c r="AB1400" s="4" t="s">
        <v>114</v>
      </c>
      <c r="AC1400" s="228" t="e">
        <f>HYPERLINK(#REF!,"ССЫЛКА")</f>
        <v>#REF!</v>
      </c>
      <c r="AD1400" s="16" t="s">
        <v>2859</v>
      </c>
    </row>
    <row r="1401" spans="1:30" s="12" customFormat="1" ht="39.950000000000003" hidden="1" customHeight="1" outlineLevel="1" x14ac:dyDescent="0.25">
      <c r="A1401" s="5"/>
      <c r="B1401" s="21" t="s">
        <v>503</v>
      </c>
      <c r="C1401" s="159" t="s">
        <v>519</v>
      </c>
      <c r="D1401" s="4">
        <v>8180</v>
      </c>
      <c r="E1401" s="4">
        <v>50</v>
      </c>
      <c r="F1401" s="4">
        <v>163</v>
      </c>
      <c r="G1401" s="4" t="s">
        <v>520</v>
      </c>
      <c r="H1401" s="4" t="s">
        <v>177</v>
      </c>
      <c r="I1401" s="4">
        <v>67</v>
      </c>
      <c r="J1401" s="4" t="s">
        <v>64</v>
      </c>
      <c r="K1401" s="5" t="s">
        <v>65</v>
      </c>
      <c r="L1401" s="4" t="s">
        <v>3380</v>
      </c>
      <c r="M1401" s="5" t="s">
        <v>506</v>
      </c>
      <c r="N1401" s="4" t="s">
        <v>67</v>
      </c>
      <c r="O1401" s="5" t="s">
        <v>68</v>
      </c>
      <c r="P1401" s="4" t="s">
        <v>69</v>
      </c>
      <c r="Q1401" s="5" t="s">
        <v>70</v>
      </c>
      <c r="R1401" s="4">
        <v>70</v>
      </c>
      <c r="S1401" s="4" t="s">
        <v>197</v>
      </c>
      <c r="T1401" s="4" t="s">
        <v>174</v>
      </c>
      <c r="U1401" s="4" t="s">
        <v>73</v>
      </c>
      <c r="V1401" s="5" t="s">
        <v>74</v>
      </c>
      <c r="W1401" s="5" t="s">
        <v>112</v>
      </c>
      <c r="X1401" s="4" t="s">
        <v>201</v>
      </c>
      <c r="Y1401" s="4">
        <v>0.01</v>
      </c>
      <c r="Z1401" s="4">
        <v>2</v>
      </c>
      <c r="AA1401" s="4" t="s">
        <v>77</v>
      </c>
      <c r="AB1401" s="4" t="s">
        <v>114</v>
      </c>
      <c r="AC1401" s="228" t="e">
        <f>HYPERLINK(#REF!,"ССЫЛКА")</f>
        <v>#REF!</v>
      </c>
      <c r="AD1401" s="16" t="s">
        <v>2859</v>
      </c>
    </row>
    <row r="1402" spans="1:30" s="12" customFormat="1" ht="39.950000000000003" hidden="1" customHeight="1" outlineLevel="1" x14ac:dyDescent="0.25">
      <c r="A1402" s="5"/>
      <c r="B1402" s="21" t="s">
        <v>503</v>
      </c>
      <c r="C1402" s="159" t="s">
        <v>521</v>
      </c>
      <c r="D1402" s="4">
        <v>8180</v>
      </c>
      <c r="E1402" s="4">
        <v>50</v>
      </c>
      <c r="F1402" s="4">
        <v>163</v>
      </c>
      <c r="G1402" s="4" t="s">
        <v>522</v>
      </c>
      <c r="H1402" s="4" t="s">
        <v>180</v>
      </c>
      <c r="I1402" s="4">
        <v>67</v>
      </c>
      <c r="J1402" s="4" t="s">
        <v>64</v>
      </c>
      <c r="K1402" s="5" t="s">
        <v>65</v>
      </c>
      <c r="L1402" s="4" t="s">
        <v>3380</v>
      </c>
      <c r="M1402" s="5" t="s">
        <v>506</v>
      </c>
      <c r="N1402" s="4" t="s">
        <v>67</v>
      </c>
      <c r="O1402" s="5" t="s">
        <v>68</v>
      </c>
      <c r="P1402" s="4" t="s">
        <v>69</v>
      </c>
      <c r="Q1402" s="5" t="s">
        <v>70</v>
      </c>
      <c r="R1402" s="4">
        <v>70</v>
      </c>
      <c r="S1402" s="4" t="s">
        <v>197</v>
      </c>
      <c r="T1402" s="4" t="s">
        <v>174</v>
      </c>
      <c r="U1402" s="4" t="s">
        <v>73</v>
      </c>
      <c r="V1402" s="5" t="s">
        <v>74</v>
      </c>
      <c r="W1402" s="5" t="s">
        <v>112</v>
      </c>
      <c r="X1402" s="4" t="s">
        <v>201</v>
      </c>
      <c r="Y1402" s="4">
        <v>0.01</v>
      </c>
      <c r="Z1402" s="4">
        <v>2</v>
      </c>
      <c r="AA1402" s="4" t="s">
        <v>77</v>
      </c>
      <c r="AB1402" s="4" t="s">
        <v>114</v>
      </c>
      <c r="AC1402" s="228" t="e">
        <f>HYPERLINK(#REF!,"ССЫЛКА")</f>
        <v>#REF!</v>
      </c>
      <c r="AD1402" s="16" t="s">
        <v>2859</v>
      </c>
    </row>
    <row r="1403" spans="1:30" s="12" customFormat="1" ht="39.950000000000003" hidden="1" customHeight="1" outlineLevel="1" x14ac:dyDescent="0.25">
      <c r="A1403" s="5"/>
      <c r="B1403" s="21" t="s">
        <v>503</v>
      </c>
      <c r="C1403" s="159" t="s">
        <v>523</v>
      </c>
      <c r="D1403" s="4">
        <v>8180</v>
      </c>
      <c r="E1403" s="4">
        <v>50</v>
      </c>
      <c r="F1403" s="4">
        <v>163</v>
      </c>
      <c r="G1403" s="4" t="s">
        <v>524</v>
      </c>
      <c r="H1403" s="4" t="s">
        <v>183</v>
      </c>
      <c r="I1403" s="4">
        <v>67</v>
      </c>
      <c r="J1403" s="4" t="s">
        <v>64</v>
      </c>
      <c r="K1403" s="5" t="s">
        <v>65</v>
      </c>
      <c r="L1403" s="4" t="s">
        <v>3380</v>
      </c>
      <c r="M1403" s="5" t="s">
        <v>506</v>
      </c>
      <c r="N1403" s="4" t="s">
        <v>67</v>
      </c>
      <c r="O1403" s="5" t="s">
        <v>68</v>
      </c>
      <c r="P1403" s="4" t="s">
        <v>69</v>
      </c>
      <c r="Q1403" s="5" t="s">
        <v>70</v>
      </c>
      <c r="R1403" s="4">
        <v>70</v>
      </c>
      <c r="S1403" s="4" t="s">
        <v>197</v>
      </c>
      <c r="T1403" s="4" t="s">
        <v>174</v>
      </c>
      <c r="U1403" s="4" t="s">
        <v>73</v>
      </c>
      <c r="V1403" s="5" t="s">
        <v>74</v>
      </c>
      <c r="W1403" s="5" t="s">
        <v>112</v>
      </c>
      <c r="X1403" s="4" t="s">
        <v>201</v>
      </c>
      <c r="Y1403" s="4">
        <v>0.01</v>
      </c>
      <c r="Z1403" s="4">
        <v>2</v>
      </c>
      <c r="AA1403" s="4" t="s">
        <v>77</v>
      </c>
      <c r="AB1403" s="4" t="s">
        <v>114</v>
      </c>
      <c r="AC1403" s="228" t="e">
        <f>HYPERLINK(#REF!,"ССЫЛКА")</f>
        <v>#REF!</v>
      </c>
      <c r="AD1403" s="16" t="s">
        <v>2859</v>
      </c>
    </row>
    <row r="1404" spans="1:30" s="12" customFormat="1" ht="39.950000000000003" hidden="1" customHeight="1" outlineLevel="1" x14ac:dyDescent="0.25">
      <c r="A1404" s="5"/>
      <c r="B1404" s="21" t="s">
        <v>503</v>
      </c>
      <c r="C1404" s="159" t="s">
        <v>525</v>
      </c>
      <c r="D1404" s="4">
        <v>8180</v>
      </c>
      <c r="E1404" s="4">
        <v>50</v>
      </c>
      <c r="F1404" s="4">
        <v>163</v>
      </c>
      <c r="G1404" s="4" t="s">
        <v>526</v>
      </c>
      <c r="H1404" s="4" t="s">
        <v>186</v>
      </c>
      <c r="I1404" s="4">
        <v>67</v>
      </c>
      <c r="J1404" s="4" t="s">
        <v>64</v>
      </c>
      <c r="K1404" s="5" t="s">
        <v>65</v>
      </c>
      <c r="L1404" s="4" t="s">
        <v>3380</v>
      </c>
      <c r="M1404" s="5" t="s">
        <v>506</v>
      </c>
      <c r="N1404" s="4" t="s">
        <v>67</v>
      </c>
      <c r="O1404" s="5" t="s">
        <v>68</v>
      </c>
      <c r="P1404" s="4" t="s">
        <v>69</v>
      </c>
      <c r="Q1404" s="5" t="s">
        <v>70</v>
      </c>
      <c r="R1404" s="4">
        <v>70</v>
      </c>
      <c r="S1404" s="4" t="s">
        <v>197</v>
      </c>
      <c r="T1404" s="4" t="s">
        <v>174</v>
      </c>
      <c r="U1404" s="4" t="s">
        <v>73</v>
      </c>
      <c r="V1404" s="5" t="s">
        <v>74</v>
      </c>
      <c r="W1404" s="5" t="s">
        <v>112</v>
      </c>
      <c r="X1404" s="4" t="s">
        <v>201</v>
      </c>
      <c r="Y1404" s="4">
        <v>0.01</v>
      </c>
      <c r="Z1404" s="4">
        <v>2</v>
      </c>
      <c r="AA1404" s="4" t="s">
        <v>77</v>
      </c>
      <c r="AB1404" s="4" t="s">
        <v>114</v>
      </c>
      <c r="AC1404" s="228" t="e">
        <f>HYPERLINK(#REF!,"ССЫЛКА")</f>
        <v>#REF!</v>
      </c>
      <c r="AD1404" s="16" t="s">
        <v>2859</v>
      </c>
    </row>
    <row r="1405" spans="1:30" s="12" customFormat="1" ht="39.950000000000003" hidden="1" customHeight="1" outlineLevel="1" x14ac:dyDescent="0.25">
      <c r="A1405" s="5"/>
      <c r="B1405" s="21" t="s">
        <v>503</v>
      </c>
      <c r="C1405" s="159" t="s">
        <v>527</v>
      </c>
      <c r="D1405" s="4">
        <v>8180</v>
      </c>
      <c r="E1405" s="4">
        <v>50</v>
      </c>
      <c r="F1405" s="4">
        <v>163</v>
      </c>
      <c r="G1405" s="4" t="s">
        <v>528</v>
      </c>
      <c r="H1405" s="4" t="s">
        <v>189</v>
      </c>
      <c r="I1405" s="4">
        <v>67</v>
      </c>
      <c r="J1405" s="4" t="s">
        <v>64</v>
      </c>
      <c r="K1405" s="5" t="s">
        <v>65</v>
      </c>
      <c r="L1405" s="4" t="s">
        <v>3380</v>
      </c>
      <c r="M1405" s="5" t="s">
        <v>506</v>
      </c>
      <c r="N1405" s="4" t="s">
        <v>67</v>
      </c>
      <c r="O1405" s="5" t="s">
        <v>68</v>
      </c>
      <c r="P1405" s="4" t="s">
        <v>69</v>
      </c>
      <c r="Q1405" s="5" t="s">
        <v>70</v>
      </c>
      <c r="R1405" s="4">
        <v>70</v>
      </c>
      <c r="S1405" s="4" t="s">
        <v>197</v>
      </c>
      <c r="T1405" s="4" t="s">
        <v>174</v>
      </c>
      <c r="U1405" s="4" t="s">
        <v>73</v>
      </c>
      <c r="V1405" s="5" t="s">
        <v>74</v>
      </c>
      <c r="W1405" s="5" t="s">
        <v>112</v>
      </c>
      <c r="X1405" s="4" t="s">
        <v>201</v>
      </c>
      <c r="Y1405" s="4">
        <v>0.01</v>
      </c>
      <c r="Z1405" s="4">
        <v>2</v>
      </c>
      <c r="AA1405" s="4" t="s">
        <v>77</v>
      </c>
      <c r="AB1405" s="4" t="s">
        <v>114</v>
      </c>
      <c r="AC1405" s="228" t="e">
        <f>HYPERLINK(#REF!,"ССЫЛКА")</f>
        <v>#REF!</v>
      </c>
      <c r="AD1405" s="16" t="s">
        <v>2859</v>
      </c>
    </row>
    <row r="1406" spans="1:30" s="12" customFormat="1" ht="39.950000000000003" hidden="1" customHeight="1" outlineLevel="1" x14ac:dyDescent="0.25">
      <c r="A1406" s="5"/>
      <c r="B1406" s="21" t="s">
        <v>503</v>
      </c>
      <c r="C1406" s="159" t="s">
        <v>529</v>
      </c>
      <c r="D1406" s="4">
        <v>8180</v>
      </c>
      <c r="E1406" s="4">
        <v>50</v>
      </c>
      <c r="F1406" s="4">
        <v>163</v>
      </c>
      <c r="G1406" s="4" t="s">
        <v>530</v>
      </c>
      <c r="H1406" s="4" t="s">
        <v>192</v>
      </c>
      <c r="I1406" s="4">
        <v>67</v>
      </c>
      <c r="J1406" s="4" t="s">
        <v>64</v>
      </c>
      <c r="K1406" s="5" t="s">
        <v>65</v>
      </c>
      <c r="L1406" s="4" t="s">
        <v>3380</v>
      </c>
      <c r="M1406" s="5" t="s">
        <v>506</v>
      </c>
      <c r="N1406" s="4" t="s">
        <v>67</v>
      </c>
      <c r="O1406" s="5" t="s">
        <v>68</v>
      </c>
      <c r="P1406" s="4" t="s">
        <v>69</v>
      </c>
      <c r="Q1406" s="5" t="s">
        <v>70</v>
      </c>
      <c r="R1406" s="4">
        <v>70</v>
      </c>
      <c r="S1406" s="4" t="s">
        <v>197</v>
      </c>
      <c r="T1406" s="4" t="s">
        <v>174</v>
      </c>
      <c r="U1406" s="4" t="s">
        <v>73</v>
      </c>
      <c r="V1406" s="5" t="s">
        <v>74</v>
      </c>
      <c r="W1406" s="5" t="s">
        <v>112</v>
      </c>
      <c r="X1406" s="4" t="s">
        <v>201</v>
      </c>
      <c r="Y1406" s="4">
        <v>0.01</v>
      </c>
      <c r="Z1406" s="4">
        <v>2</v>
      </c>
      <c r="AA1406" s="4" t="s">
        <v>77</v>
      </c>
      <c r="AB1406" s="4" t="s">
        <v>114</v>
      </c>
      <c r="AC1406" s="228" t="e">
        <f>HYPERLINK(#REF!,"ССЫЛКА")</f>
        <v>#REF!</v>
      </c>
      <c r="AD1406" s="16" t="s">
        <v>2859</v>
      </c>
    </row>
    <row r="1407" spans="1:30" s="12" customFormat="1" ht="39.950000000000003" hidden="1" customHeight="1" outlineLevel="1" x14ac:dyDescent="0.25">
      <c r="A1407" s="5"/>
      <c r="B1407" s="21" t="s">
        <v>503</v>
      </c>
      <c r="C1407" s="159" t="s">
        <v>531</v>
      </c>
      <c r="D1407" s="4">
        <v>8180</v>
      </c>
      <c r="E1407" s="4">
        <v>50</v>
      </c>
      <c r="F1407" s="4">
        <v>163</v>
      </c>
      <c r="G1407" s="4" t="s">
        <v>532</v>
      </c>
      <c r="H1407" s="4" t="s">
        <v>63</v>
      </c>
      <c r="I1407" s="4">
        <v>67</v>
      </c>
      <c r="J1407" s="4" t="s">
        <v>64</v>
      </c>
      <c r="K1407" s="5" t="s">
        <v>65</v>
      </c>
      <c r="L1407" s="4" t="s">
        <v>3380</v>
      </c>
      <c r="M1407" s="5" t="s">
        <v>506</v>
      </c>
      <c r="N1407" s="4" t="s">
        <v>67</v>
      </c>
      <c r="O1407" s="5" t="s">
        <v>68</v>
      </c>
      <c r="P1407" s="4" t="s">
        <v>69</v>
      </c>
      <c r="Q1407" s="5" t="s">
        <v>70</v>
      </c>
      <c r="R1407" s="4">
        <v>70</v>
      </c>
      <c r="S1407" s="4" t="s">
        <v>197</v>
      </c>
      <c r="T1407" s="4" t="s">
        <v>174</v>
      </c>
      <c r="U1407" s="4" t="s">
        <v>73</v>
      </c>
      <c r="V1407" s="5" t="s">
        <v>74</v>
      </c>
      <c r="W1407" s="5" t="s">
        <v>112</v>
      </c>
      <c r="X1407" s="4" t="s">
        <v>201</v>
      </c>
      <c r="Y1407" s="4">
        <v>0.01</v>
      </c>
      <c r="Z1407" s="4">
        <v>2</v>
      </c>
      <c r="AA1407" s="4" t="s">
        <v>77</v>
      </c>
      <c r="AB1407" s="4" t="s">
        <v>114</v>
      </c>
      <c r="AC1407" s="228" t="e">
        <f>HYPERLINK(#REF!,"ССЫЛКА")</f>
        <v>#REF!</v>
      </c>
      <c r="AD1407" s="16" t="s">
        <v>2859</v>
      </c>
    </row>
    <row r="1408" spans="1:30" s="12" customFormat="1" ht="39.950000000000003" hidden="1" customHeight="1" outlineLevel="1" x14ac:dyDescent="0.25">
      <c r="A1408" s="5"/>
      <c r="B1408" s="21" t="s">
        <v>503</v>
      </c>
      <c r="C1408" s="159" t="s">
        <v>533</v>
      </c>
      <c r="D1408" s="4">
        <v>12100</v>
      </c>
      <c r="E1408" s="4">
        <v>75</v>
      </c>
      <c r="F1408" s="4">
        <v>161</v>
      </c>
      <c r="G1408" s="4" t="s">
        <v>534</v>
      </c>
      <c r="H1408" s="4" t="s">
        <v>63</v>
      </c>
      <c r="I1408" s="4">
        <v>67</v>
      </c>
      <c r="J1408" s="4" t="s">
        <v>64</v>
      </c>
      <c r="K1408" s="5" t="s">
        <v>65</v>
      </c>
      <c r="L1408" s="4" t="s">
        <v>3380</v>
      </c>
      <c r="M1408" s="5" t="s">
        <v>506</v>
      </c>
      <c r="N1408" s="4" t="s">
        <v>67</v>
      </c>
      <c r="O1408" s="5" t="s">
        <v>68</v>
      </c>
      <c r="P1408" s="4" t="s">
        <v>69</v>
      </c>
      <c r="Q1408" s="5" t="s">
        <v>70</v>
      </c>
      <c r="R1408" s="4">
        <v>70</v>
      </c>
      <c r="S1408" s="4" t="s">
        <v>216</v>
      </c>
      <c r="T1408" s="4" t="s">
        <v>174</v>
      </c>
      <c r="U1408" s="4" t="s">
        <v>73</v>
      </c>
      <c r="V1408" s="5" t="s">
        <v>74</v>
      </c>
      <c r="W1408" s="5" t="s">
        <v>160</v>
      </c>
      <c r="X1408" s="4" t="s">
        <v>217</v>
      </c>
      <c r="Y1408" s="4">
        <v>0.01</v>
      </c>
      <c r="Z1408" s="4">
        <v>2.5</v>
      </c>
      <c r="AA1408" s="4" t="s">
        <v>77</v>
      </c>
      <c r="AB1408" s="4" t="s">
        <v>114</v>
      </c>
      <c r="AC1408" s="228" t="e">
        <f>HYPERLINK(#REF!,"ССЫЛКА")</f>
        <v>#REF!</v>
      </c>
      <c r="AD1408" s="16" t="s">
        <v>2859</v>
      </c>
    </row>
    <row r="1409" spans="1:30" s="12" customFormat="1" ht="39.950000000000003" hidden="1" customHeight="1" outlineLevel="1" x14ac:dyDescent="0.25">
      <c r="A1409" s="5"/>
      <c r="B1409" s="21" t="s">
        <v>503</v>
      </c>
      <c r="C1409" s="159" t="s">
        <v>535</v>
      </c>
      <c r="D1409" s="4">
        <v>12100</v>
      </c>
      <c r="E1409" s="4">
        <v>75</v>
      </c>
      <c r="F1409" s="4">
        <v>161</v>
      </c>
      <c r="G1409" s="4" t="s">
        <v>536</v>
      </c>
      <c r="H1409" s="4" t="s">
        <v>177</v>
      </c>
      <c r="I1409" s="4">
        <v>67</v>
      </c>
      <c r="J1409" s="4" t="s">
        <v>64</v>
      </c>
      <c r="K1409" s="5" t="s">
        <v>65</v>
      </c>
      <c r="L1409" s="4" t="s">
        <v>3380</v>
      </c>
      <c r="M1409" s="5" t="s">
        <v>506</v>
      </c>
      <c r="N1409" s="4" t="s">
        <v>67</v>
      </c>
      <c r="O1409" s="5" t="s">
        <v>68</v>
      </c>
      <c r="P1409" s="4" t="s">
        <v>69</v>
      </c>
      <c r="Q1409" s="5" t="s">
        <v>70</v>
      </c>
      <c r="R1409" s="4">
        <v>70</v>
      </c>
      <c r="S1409" s="4" t="s">
        <v>216</v>
      </c>
      <c r="T1409" s="4" t="s">
        <v>174</v>
      </c>
      <c r="U1409" s="4" t="s">
        <v>73</v>
      </c>
      <c r="V1409" s="5" t="s">
        <v>74</v>
      </c>
      <c r="W1409" s="5" t="s">
        <v>112</v>
      </c>
      <c r="X1409" s="4" t="s">
        <v>220</v>
      </c>
      <c r="Y1409" s="4">
        <v>0.01</v>
      </c>
      <c r="Z1409" s="4">
        <v>2.5</v>
      </c>
      <c r="AA1409" s="4" t="s">
        <v>77</v>
      </c>
      <c r="AB1409" s="4" t="s">
        <v>114</v>
      </c>
      <c r="AC1409" s="228" t="e">
        <f>HYPERLINK(#REF!,"ССЫЛКА")</f>
        <v>#REF!</v>
      </c>
      <c r="AD1409" s="16" t="s">
        <v>2859</v>
      </c>
    </row>
    <row r="1410" spans="1:30" s="12" customFormat="1" ht="39.950000000000003" hidden="1" customHeight="1" outlineLevel="1" x14ac:dyDescent="0.25">
      <c r="A1410" s="5"/>
      <c r="B1410" s="21" t="s">
        <v>503</v>
      </c>
      <c r="C1410" s="159" t="s">
        <v>537</v>
      </c>
      <c r="D1410" s="4">
        <v>12100</v>
      </c>
      <c r="E1410" s="4">
        <v>75</v>
      </c>
      <c r="F1410" s="4">
        <v>161</v>
      </c>
      <c r="G1410" s="4" t="s">
        <v>538</v>
      </c>
      <c r="H1410" s="4" t="s">
        <v>180</v>
      </c>
      <c r="I1410" s="4">
        <v>67</v>
      </c>
      <c r="J1410" s="4" t="s">
        <v>64</v>
      </c>
      <c r="K1410" s="5" t="s">
        <v>65</v>
      </c>
      <c r="L1410" s="4" t="s">
        <v>3380</v>
      </c>
      <c r="M1410" s="5" t="s">
        <v>506</v>
      </c>
      <c r="N1410" s="4" t="s">
        <v>67</v>
      </c>
      <c r="O1410" s="5" t="s">
        <v>68</v>
      </c>
      <c r="P1410" s="4" t="s">
        <v>69</v>
      </c>
      <c r="Q1410" s="5" t="s">
        <v>70</v>
      </c>
      <c r="R1410" s="4">
        <v>70</v>
      </c>
      <c r="S1410" s="4" t="s">
        <v>216</v>
      </c>
      <c r="T1410" s="4" t="s">
        <v>174</v>
      </c>
      <c r="U1410" s="4" t="s">
        <v>73</v>
      </c>
      <c r="V1410" s="5" t="s">
        <v>74</v>
      </c>
      <c r="W1410" s="5" t="s">
        <v>112</v>
      </c>
      <c r="X1410" s="4" t="s">
        <v>220</v>
      </c>
      <c r="Y1410" s="4">
        <v>0.01</v>
      </c>
      <c r="Z1410" s="4">
        <v>2.5</v>
      </c>
      <c r="AA1410" s="4" t="s">
        <v>77</v>
      </c>
      <c r="AB1410" s="4" t="s">
        <v>114</v>
      </c>
      <c r="AC1410" s="228" t="e">
        <f>HYPERLINK(#REF!,"ССЫЛКА")</f>
        <v>#REF!</v>
      </c>
      <c r="AD1410" s="16" t="s">
        <v>2859</v>
      </c>
    </row>
    <row r="1411" spans="1:30" s="12" customFormat="1" ht="39.950000000000003" hidden="1" customHeight="1" outlineLevel="1" x14ac:dyDescent="0.25">
      <c r="A1411" s="5"/>
      <c r="B1411" s="21" t="s">
        <v>503</v>
      </c>
      <c r="C1411" s="159" t="s">
        <v>539</v>
      </c>
      <c r="D1411" s="4">
        <v>12100</v>
      </c>
      <c r="E1411" s="4">
        <v>75</v>
      </c>
      <c r="F1411" s="4">
        <v>161</v>
      </c>
      <c r="G1411" s="4" t="s">
        <v>540</v>
      </c>
      <c r="H1411" s="4" t="s">
        <v>183</v>
      </c>
      <c r="I1411" s="4">
        <v>67</v>
      </c>
      <c r="J1411" s="4" t="s">
        <v>64</v>
      </c>
      <c r="K1411" s="5" t="s">
        <v>65</v>
      </c>
      <c r="L1411" s="4" t="s">
        <v>3380</v>
      </c>
      <c r="M1411" s="5" t="s">
        <v>506</v>
      </c>
      <c r="N1411" s="4" t="s">
        <v>67</v>
      </c>
      <c r="O1411" s="5" t="s">
        <v>68</v>
      </c>
      <c r="P1411" s="4" t="s">
        <v>69</v>
      </c>
      <c r="Q1411" s="5" t="s">
        <v>70</v>
      </c>
      <c r="R1411" s="4">
        <v>70</v>
      </c>
      <c r="S1411" s="4" t="s">
        <v>216</v>
      </c>
      <c r="T1411" s="4" t="s">
        <v>174</v>
      </c>
      <c r="U1411" s="4" t="s">
        <v>73</v>
      </c>
      <c r="V1411" s="5" t="s">
        <v>74</v>
      </c>
      <c r="W1411" s="5" t="s">
        <v>112</v>
      </c>
      <c r="X1411" s="4" t="s">
        <v>220</v>
      </c>
      <c r="Y1411" s="4">
        <v>0.01</v>
      </c>
      <c r="Z1411" s="4">
        <v>2.5</v>
      </c>
      <c r="AA1411" s="4" t="s">
        <v>77</v>
      </c>
      <c r="AB1411" s="4" t="s">
        <v>114</v>
      </c>
      <c r="AC1411" s="228" t="e">
        <f>HYPERLINK(#REF!,"ССЫЛКА")</f>
        <v>#REF!</v>
      </c>
      <c r="AD1411" s="16" t="s">
        <v>2859</v>
      </c>
    </row>
    <row r="1412" spans="1:30" s="12" customFormat="1" ht="39.950000000000003" hidden="1" customHeight="1" outlineLevel="1" x14ac:dyDescent="0.25">
      <c r="A1412" s="5"/>
      <c r="B1412" s="21" t="s">
        <v>503</v>
      </c>
      <c r="C1412" s="159" t="s">
        <v>541</v>
      </c>
      <c r="D1412" s="4">
        <v>12100</v>
      </c>
      <c r="E1412" s="4">
        <v>75</v>
      </c>
      <c r="F1412" s="4">
        <v>161</v>
      </c>
      <c r="G1412" s="4" t="s">
        <v>542</v>
      </c>
      <c r="H1412" s="4" t="s">
        <v>186</v>
      </c>
      <c r="I1412" s="4">
        <v>67</v>
      </c>
      <c r="J1412" s="4" t="s">
        <v>64</v>
      </c>
      <c r="K1412" s="5" t="s">
        <v>65</v>
      </c>
      <c r="L1412" s="4" t="s">
        <v>3380</v>
      </c>
      <c r="M1412" s="5" t="s">
        <v>506</v>
      </c>
      <c r="N1412" s="4" t="s">
        <v>67</v>
      </c>
      <c r="O1412" s="5" t="s">
        <v>68</v>
      </c>
      <c r="P1412" s="4" t="s">
        <v>69</v>
      </c>
      <c r="Q1412" s="5" t="s">
        <v>70</v>
      </c>
      <c r="R1412" s="4">
        <v>70</v>
      </c>
      <c r="S1412" s="4" t="s">
        <v>216</v>
      </c>
      <c r="T1412" s="4" t="s">
        <v>174</v>
      </c>
      <c r="U1412" s="4" t="s">
        <v>73</v>
      </c>
      <c r="V1412" s="5" t="s">
        <v>74</v>
      </c>
      <c r="W1412" s="5" t="s">
        <v>112</v>
      </c>
      <c r="X1412" s="4" t="s">
        <v>220</v>
      </c>
      <c r="Y1412" s="4">
        <v>0.01</v>
      </c>
      <c r="Z1412" s="4">
        <v>2.5</v>
      </c>
      <c r="AA1412" s="4" t="s">
        <v>77</v>
      </c>
      <c r="AB1412" s="4" t="s">
        <v>114</v>
      </c>
      <c r="AC1412" s="228" t="e">
        <f>HYPERLINK(#REF!,"ССЫЛКА")</f>
        <v>#REF!</v>
      </c>
      <c r="AD1412" s="16" t="s">
        <v>2859</v>
      </c>
    </row>
    <row r="1413" spans="1:30" s="12" customFormat="1" ht="39.950000000000003" hidden="1" customHeight="1" outlineLevel="1" x14ac:dyDescent="0.25">
      <c r="A1413" s="5"/>
      <c r="B1413" s="21" t="s">
        <v>503</v>
      </c>
      <c r="C1413" s="159" t="s">
        <v>543</v>
      </c>
      <c r="D1413" s="4">
        <v>12100</v>
      </c>
      <c r="E1413" s="4">
        <v>75</v>
      </c>
      <c r="F1413" s="4">
        <v>161</v>
      </c>
      <c r="G1413" s="4" t="s">
        <v>544</v>
      </c>
      <c r="H1413" s="4" t="s">
        <v>189</v>
      </c>
      <c r="I1413" s="4">
        <v>67</v>
      </c>
      <c r="J1413" s="4" t="s">
        <v>64</v>
      </c>
      <c r="K1413" s="5" t="s">
        <v>65</v>
      </c>
      <c r="L1413" s="4" t="s">
        <v>3380</v>
      </c>
      <c r="M1413" s="5" t="s">
        <v>506</v>
      </c>
      <c r="N1413" s="4" t="s">
        <v>67</v>
      </c>
      <c r="O1413" s="5" t="s">
        <v>68</v>
      </c>
      <c r="P1413" s="4" t="s">
        <v>69</v>
      </c>
      <c r="Q1413" s="5" t="s">
        <v>70</v>
      </c>
      <c r="R1413" s="4">
        <v>70</v>
      </c>
      <c r="S1413" s="4" t="s">
        <v>216</v>
      </c>
      <c r="T1413" s="4" t="s">
        <v>174</v>
      </c>
      <c r="U1413" s="4" t="s">
        <v>73</v>
      </c>
      <c r="V1413" s="5" t="s">
        <v>74</v>
      </c>
      <c r="W1413" s="5" t="s">
        <v>112</v>
      </c>
      <c r="X1413" s="4" t="s">
        <v>220</v>
      </c>
      <c r="Y1413" s="4">
        <v>0.01</v>
      </c>
      <c r="Z1413" s="4">
        <v>2.5</v>
      </c>
      <c r="AA1413" s="4" t="s">
        <v>77</v>
      </c>
      <c r="AB1413" s="4" t="s">
        <v>114</v>
      </c>
      <c r="AC1413" s="228" t="e">
        <f>HYPERLINK(#REF!,"ССЫЛКА")</f>
        <v>#REF!</v>
      </c>
      <c r="AD1413" s="16" t="s">
        <v>2859</v>
      </c>
    </row>
    <row r="1414" spans="1:30" s="12" customFormat="1" ht="39.950000000000003" hidden="1" customHeight="1" outlineLevel="1" x14ac:dyDescent="0.25">
      <c r="A1414" s="5"/>
      <c r="B1414" s="21" t="s">
        <v>503</v>
      </c>
      <c r="C1414" s="159" t="s">
        <v>545</v>
      </c>
      <c r="D1414" s="4">
        <v>12100</v>
      </c>
      <c r="E1414" s="4">
        <v>75</v>
      </c>
      <c r="F1414" s="4">
        <v>161</v>
      </c>
      <c r="G1414" s="4" t="s">
        <v>546</v>
      </c>
      <c r="H1414" s="4" t="s">
        <v>192</v>
      </c>
      <c r="I1414" s="4">
        <v>67</v>
      </c>
      <c r="J1414" s="4" t="s">
        <v>64</v>
      </c>
      <c r="K1414" s="5" t="s">
        <v>65</v>
      </c>
      <c r="L1414" s="4" t="s">
        <v>3380</v>
      </c>
      <c r="M1414" s="5" t="s">
        <v>506</v>
      </c>
      <c r="N1414" s="4" t="s">
        <v>67</v>
      </c>
      <c r="O1414" s="5" t="s">
        <v>68</v>
      </c>
      <c r="P1414" s="4" t="s">
        <v>69</v>
      </c>
      <c r="Q1414" s="5" t="s">
        <v>70</v>
      </c>
      <c r="R1414" s="4">
        <v>70</v>
      </c>
      <c r="S1414" s="4" t="s">
        <v>216</v>
      </c>
      <c r="T1414" s="4" t="s">
        <v>174</v>
      </c>
      <c r="U1414" s="4" t="s">
        <v>73</v>
      </c>
      <c r="V1414" s="5" t="s">
        <v>74</v>
      </c>
      <c r="W1414" s="5" t="s">
        <v>112</v>
      </c>
      <c r="X1414" s="4" t="s">
        <v>220</v>
      </c>
      <c r="Y1414" s="4">
        <v>0.01</v>
      </c>
      <c r="Z1414" s="4">
        <v>2.5</v>
      </c>
      <c r="AA1414" s="4" t="s">
        <v>77</v>
      </c>
      <c r="AB1414" s="4" t="s">
        <v>114</v>
      </c>
      <c r="AC1414" s="228" t="e">
        <f>HYPERLINK(#REF!,"ССЫЛКА")</f>
        <v>#REF!</v>
      </c>
      <c r="AD1414" s="16" t="s">
        <v>2859</v>
      </c>
    </row>
    <row r="1415" spans="1:30" s="12" customFormat="1" ht="39.950000000000003" hidden="1" customHeight="1" outlineLevel="1" x14ac:dyDescent="0.25">
      <c r="A1415" s="5"/>
      <c r="B1415" s="21" t="s">
        <v>503</v>
      </c>
      <c r="C1415" s="159" t="s">
        <v>547</v>
      </c>
      <c r="D1415" s="4">
        <v>12100</v>
      </c>
      <c r="E1415" s="4">
        <v>75</v>
      </c>
      <c r="F1415" s="4">
        <v>161</v>
      </c>
      <c r="G1415" s="4" t="s">
        <v>548</v>
      </c>
      <c r="H1415" s="4" t="s">
        <v>63</v>
      </c>
      <c r="I1415" s="4">
        <v>67</v>
      </c>
      <c r="J1415" s="4" t="s">
        <v>64</v>
      </c>
      <c r="K1415" s="5" t="s">
        <v>65</v>
      </c>
      <c r="L1415" s="4" t="s">
        <v>3380</v>
      </c>
      <c r="M1415" s="5" t="s">
        <v>506</v>
      </c>
      <c r="N1415" s="4" t="s">
        <v>67</v>
      </c>
      <c r="O1415" s="5" t="s">
        <v>68</v>
      </c>
      <c r="P1415" s="4" t="s">
        <v>69</v>
      </c>
      <c r="Q1415" s="5" t="s">
        <v>70</v>
      </c>
      <c r="R1415" s="4">
        <v>70</v>
      </c>
      <c r="S1415" s="4" t="s">
        <v>216</v>
      </c>
      <c r="T1415" s="4" t="s">
        <v>174</v>
      </c>
      <c r="U1415" s="4" t="s">
        <v>73</v>
      </c>
      <c r="V1415" s="5" t="s">
        <v>74</v>
      </c>
      <c r="W1415" s="5" t="s">
        <v>112</v>
      </c>
      <c r="X1415" s="4" t="s">
        <v>220</v>
      </c>
      <c r="Y1415" s="4">
        <v>0.01</v>
      </c>
      <c r="Z1415" s="4">
        <v>2.5</v>
      </c>
      <c r="AA1415" s="4" t="s">
        <v>77</v>
      </c>
      <c r="AB1415" s="4" t="s">
        <v>114</v>
      </c>
      <c r="AC1415" s="228" t="e">
        <f>HYPERLINK(#REF!,"ССЫЛКА")</f>
        <v>#REF!</v>
      </c>
      <c r="AD1415" s="16" t="s">
        <v>2859</v>
      </c>
    </row>
    <row r="1416" spans="1:30" s="12" customFormat="1" ht="39.950000000000003" hidden="1" customHeight="1" outlineLevel="1" x14ac:dyDescent="0.25">
      <c r="A1416" s="5"/>
      <c r="B1416" s="21" t="s">
        <v>503</v>
      </c>
      <c r="C1416" s="159" t="s">
        <v>549</v>
      </c>
      <c r="D1416" s="4">
        <v>16540</v>
      </c>
      <c r="E1416" s="4">
        <v>100</v>
      </c>
      <c r="F1416" s="4">
        <v>165</v>
      </c>
      <c r="G1416" s="4" t="s">
        <v>550</v>
      </c>
      <c r="H1416" s="4" t="s">
        <v>63</v>
      </c>
      <c r="I1416" s="4">
        <v>67</v>
      </c>
      <c r="J1416" s="4" t="s">
        <v>64</v>
      </c>
      <c r="K1416" s="5" t="s">
        <v>65</v>
      </c>
      <c r="L1416" s="4" t="s">
        <v>3380</v>
      </c>
      <c r="M1416" s="5" t="s">
        <v>506</v>
      </c>
      <c r="N1416" s="4" t="s">
        <v>67</v>
      </c>
      <c r="O1416" s="5" t="s">
        <v>68</v>
      </c>
      <c r="P1416" s="4" t="s">
        <v>69</v>
      </c>
      <c r="Q1416" s="5" t="s">
        <v>70</v>
      </c>
      <c r="R1416" s="4">
        <v>70</v>
      </c>
      <c r="S1416" s="4" t="s">
        <v>236</v>
      </c>
      <c r="T1416" s="4" t="s">
        <v>174</v>
      </c>
      <c r="U1416" s="4" t="s">
        <v>73</v>
      </c>
      <c r="V1416" s="5" t="s">
        <v>74</v>
      </c>
      <c r="W1416" s="5" t="s">
        <v>160</v>
      </c>
      <c r="X1416" s="4" t="s">
        <v>237</v>
      </c>
      <c r="Y1416" s="4">
        <v>0.01</v>
      </c>
      <c r="Z1416" s="4">
        <v>2.9</v>
      </c>
      <c r="AA1416" s="4" t="s">
        <v>77</v>
      </c>
      <c r="AB1416" s="4" t="s">
        <v>114</v>
      </c>
      <c r="AC1416" s="228" t="e">
        <f>HYPERLINK(#REF!,"ССЫЛКА")</f>
        <v>#REF!</v>
      </c>
      <c r="AD1416" s="16" t="s">
        <v>2859</v>
      </c>
    </row>
    <row r="1417" spans="1:30" s="12" customFormat="1" ht="39.950000000000003" hidden="1" customHeight="1" outlineLevel="1" x14ac:dyDescent="0.25">
      <c r="A1417" s="5"/>
      <c r="B1417" s="21" t="s">
        <v>503</v>
      </c>
      <c r="C1417" s="159" t="s">
        <v>551</v>
      </c>
      <c r="D1417" s="4">
        <v>16540</v>
      </c>
      <c r="E1417" s="4">
        <v>100</v>
      </c>
      <c r="F1417" s="4">
        <v>165</v>
      </c>
      <c r="G1417" s="4" t="s">
        <v>552</v>
      </c>
      <c r="H1417" s="4" t="s">
        <v>177</v>
      </c>
      <c r="I1417" s="4">
        <v>67</v>
      </c>
      <c r="J1417" s="4" t="s">
        <v>64</v>
      </c>
      <c r="K1417" s="5" t="s">
        <v>65</v>
      </c>
      <c r="L1417" s="4" t="s">
        <v>3380</v>
      </c>
      <c r="M1417" s="5" t="s">
        <v>506</v>
      </c>
      <c r="N1417" s="4" t="s">
        <v>67</v>
      </c>
      <c r="O1417" s="5" t="s">
        <v>68</v>
      </c>
      <c r="P1417" s="4" t="s">
        <v>69</v>
      </c>
      <c r="Q1417" s="5" t="s">
        <v>70</v>
      </c>
      <c r="R1417" s="4">
        <v>70</v>
      </c>
      <c r="S1417" s="4" t="s">
        <v>236</v>
      </c>
      <c r="T1417" s="4" t="s">
        <v>174</v>
      </c>
      <c r="U1417" s="4" t="s">
        <v>73</v>
      </c>
      <c r="V1417" s="5" t="s">
        <v>74</v>
      </c>
      <c r="W1417" s="5" t="s">
        <v>112</v>
      </c>
      <c r="X1417" s="4" t="s">
        <v>240</v>
      </c>
      <c r="Y1417" s="4">
        <v>0.01</v>
      </c>
      <c r="Z1417" s="4">
        <v>2.9</v>
      </c>
      <c r="AA1417" s="4" t="s">
        <v>77</v>
      </c>
      <c r="AB1417" s="4" t="s">
        <v>114</v>
      </c>
      <c r="AC1417" s="228" t="e">
        <f>HYPERLINK(#REF!,"ССЫЛКА")</f>
        <v>#REF!</v>
      </c>
      <c r="AD1417" s="16" t="s">
        <v>2859</v>
      </c>
    </row>
    <row r="1418" spans="1:30" s="12" customFormat="1" ht="39.950000000000003" hidden="1" customHeight="1" outlineLevel="1" x14ac:dyDescent="0.25">
      <c r="A1418" s="5"/>
      <c r="B1418" s="21" t="s">
        <v>503</v>
      </c>
      <c r="C1418" s="159" t="s">
        <v>553</v>
      </c>
      <c r="D1418" s="4">
        <v>16540</v>
      </c>
      <c r="E1418" s="4">
        <v>100</v>
      </c>
      <c r="F1418" s="4">
        <v>165</v>
      </c>
      <c r="G1418" s="4" t="s">
        <v>554</v>
      </c>
      <c r="H1418" s="4" t="s">
        <v>180</v>
      </c>
      <c r="I1418" s="4">
        <v>67</v>
      </c>
      <c r="J1418" s="4" t="s">
        <v>64</v>
      </c>
      <c r="K1418" s="5" t="s">
        <v>65</v>
      </c>
      <c r="L1418" s="4" t="s">
        <v>3380</v>
      </c>
      <c r="M1418" s="5" t="s">
        <v>506</v>
      </c>
      <c r="N1418" s="4" t="s">
        <v>67</v>
      </c>
      <c r="O1418" s="5" t="s">
        <v>68</v>
      </c>
      <c r="P1418" s="4" t="s">
        <v>69</v>
      </c>
      <c r="Q1418" s="5" t="s">
        <v>70</v>
      </c>
      <c r="R1418" s="4">
        <v>70</v>
      </c>
      <c r="S1418" s="4" t="s">
        <v>236</v>
      </c>
      <c r="T1418" s="4" t="s">
        <v>174</v>
      </c>
      <c r="U1418" s="4" t="s">
        <v>73</v>
      </c>
      <c r="V1418" s="5" t="s">
        <v>74</v>
      </c>
      <c r="W1418" s="5" t="s">
        <v>112</v>
      </c>
      <c r="X1418" s="4" t="s">
        <v>240</v>
      </c>
      <c r="Y1418" s="4">
        <v>0.01</v>
      </c>
      <c r="Z1418" s="4">
        <v>2.9</v>
      </c>
      <c r="AA1418" s="4" t="s">
        <v>77</v>
      </c>
      <c r="AB1418" s="4" t="s">
        <v>114</v>
      </c>
      <c r="AC1418" s="228" t="e">
        <f>HYPERLINK(#REF!,"ССЫЛКА")</f>
        <v>#REF!</v>
      </c>
      <c r="AD1418" s="16" t="s">
        <v>2859</v>
      </c>
    </row>
    <row r="1419" spans="1:30" s="12" customFormat="1" ht="39.950000000000003" hidden="1" customHeight="1" outlineLevel="1" x14ac:dyDescent="0.25">
      <c r="A1419" s="5"/>
      <c r="B1419" s="21" t="s">
        <v>503</v>
      </c>
      <c r="C1419" s="159" t="s">
        <v>555</v>
      </c>
      <c r="D1419" s="4">
        <v>16540</v>
      </c>
      <c r="E1419" s="4">
        <v>100</v>
      </c>
      <c r="F1419" s="4">
        <v>165</v>
      </c>
      <c r="G1419" s="4" t="s">
        <v>556</v>
      </c>
      <c r="H1419" s="4" t="s">
        <v>183</v>
      </c>
      <c r="I1419" s="4">
        <v>67</v>
      </c>
      <c r="J1419" s="4" t="s">
        <v>64</v>
      </c>
      <c r="K1419" s="5" t="s">
        <v>65</v>
      </c>
      <c r="L1419" s="4" t="s">
        <v>3380</v>
      </c>
      <c r="M1419" s="5" t="s">
        <v>506</v>
      </c>
      <c r="N1419" s="4" t="s">
        <v>67</v>
      </c>
      <c r="O1419" s="5" t="s">
        <v>68</v>
      </c>
      <c r="P1419" s="4" t="s">
        <v>69</v>
      </c>
      <c r="Q1419" s="5" t="s">
        <v>70</v>
      </c>
      <c r="R1419" s="4">
        <v>70</v>
      </c>
      <c r="S1419" s="4" t="s">
        <v>236</v>
      </c>
      <c r="T1419" s="4" t="s">
        <v>174</v>
      </c>
      <c r="U1419" s="4" t="s">
        <v>73</v>
      </c>
      <c r="V1419" s="5" t="s">
        <v>74</v>
      </c>
      <c r="W1419" s="5" t="s">
        <v>112</v>
      </c>
      <c r="X1419" s="4" t="s">
        <v>240</v>
      </c>
      <c r="Y1419" s="4">
        <v>0.01</v>
      </c>
      <c r="Z1419" s="4">
        <v>2.9</v>
      </c>
      <c r="AA1419" s="4" t="s">
        <v>77</v>
      </c>
      <c r="AB1419" s="4" t="s">
        <v>114</v>
      </c>
      <c r="AC1419" s="228" t="e">
        <f>HYPERLINK(#REF!,"ССЫЛКА")</f>
        <v>#REF!</v>
      </c>
      <c r="AD1419" s="16" t="s">
        <v>2859</v>
      </c>
    </row>
    <row r="1420" spans="1:30" s="12" customFormat="1" ht="39.950000000000003" hidden="1" customHeight="1" outlineLevel="1" x14ac:dyDescent="0.25">
      <c r="A1420" s="5"/>
      <c r="B1420" s="21" t="s">
        <v>503</v>
      </c>
      <c r="C1420" s="159" t="s">
        <v>557</v>
      </c>
      <c r="D1420" s="4">
        <v>16540</v>
      </c>
      <c r="E1420" s="4">
        <v>100</v>
      </c>
      <c r="F1420" s="4">
        <v>165</v>
      </c>
      <c r="G1420" s="4" t="s">
        <v>558</v>
      </c>
      <c r="H1420" s="4" t="s">
        <v>186</v>
      </c>
      <c r="I1420" s="4">
        <v>67</v>
      </c>
      <c r="J1420" s="4" t="s">
        <v>64</v>
      </c>
      <c r="K1420" s="5" t="s">
        <v>65</v>
      </c>
      <c r="L1420" s="4" t="s">
        <v>3380</v>
      </c>
      <c r="M1420" s="5" t="s">
        <v>506</v>
      </c>
      <c r="N1420" s="4" t="s">
        <v>67</v>
      </c>
      <c r="O1420" s="5" t="s">
        <v>68</v>
      </c>
      <c r="P1420" s="4" t="s">
        <v>69</v>
      </c>
      <c r="Q1420" s="5" t="s">
        <v>70</v>
      </c>
      <c r="R1420" s="4">
        <v>70</v>
      </c>
      <c r="S1420" s="4" t="s">
        <v>236</v>
      </c>
      <c r="T1420" s="4" t="s">
        <v>174</v>
      </c>
      <c r="U1420" s="4" t="s">
        <v>73</v>
      </c>
      <c r="V1420" s="5" t="s">
        <v>74</v>
      </c>
      <c r="W1420" s="5" t="s">
        <v>112</v>
      </c>
      <c r="X1420" s="4" t="s">
        <v>240</v>
      </c>
      <c r="Y1420" s="4">
        <v>0.01</v>
      </c>
      <c r="Z1420" s="4">
        <v>2.9</v>
      </c>
      <c r="AA1420" s="4" t="s">
        <v>77</v>
      </c>
      <c r="AB1420" s="4" t="s">
        <v>114</v>
      </c>
      <c r="AC1420" s="228" t="e">
        <f>HYPERLINK(#REF!,"ССЫЛКА")</f>
        <v>#REF!</v>
      </c>
      <c r="AD1420" s="16" t="s">
        <v>2859</v>
      </c>
    </row>
    <row r="1421" spans="1:30" s="12" customFormat="1" ht="39.950000000000003" hidden="1" customHeight="1" outlineLevel="1" x14ac:dyDescent="0.25">
      <c r="A1421" s="5"/>
      <c r="B1421" s="21" t="s">
        <v>503</v>
      </c>
      <c r="C1421" s="159" t="s">
        <v>559</v>
      </c>
      <c r="D1421" s="4">
        <v>16540</v>
      </c>
      <c r="E1421" s="4">
        <v>100</v>
      </c>
      <c r="F1421" s="4">
        <v>165</v>
      </c>
      <c r="G1421" s="4" t="s">
        <v>560</v>
      </c>
      <c r="H1421" s="4" t="s">
        <v>189</v>
      </c>
      <c r="I1421" s="4">
        <v>67</v>
      </c>
      <c r="J1421" s="4" t="s">
        <v>64</v>
      </c>
      <c r="K1421" s="5" t="s">
        <v>65</v>
      </c>
      <c r="L1421" s="4" t="s">
        <v>3380</v>
      </c>
      <c r="M1421" s="5" t="s">
        <v>506</v>
      </c>
      <c r="N1421" s="4" t="s">
        <v>67</v>
      </c>
      <c r="O1421" s="5" t="s">
        <v>68</v>
      </c>
      <c r="P1421" s="4" t="s">
        <v>69</v>
      </c>
      <c r="Q1421" s="5" t="s">
        <v>70</v>
      </c>
      <c r="R1421" s="4">
        <v>70</v>
      </c>
      <c r="S1421" s="4" t="s">
        <v>236</v>
      </c>
      <c r="T1421" s="4" t="s">
        <v>174</v>
      </c>
      <c r="U1421" s="4" t="s">
        <v>73</v>
      </c>
      <c r="V1421" s="5" t="s">
        <v>74</v>
      </c>
      <c r="W1421" s="5" t="s">
        <v>112</v>
      </c>
      <c r="X1421" s="4" t="s">
        <v>240</v>
      </c>
      <c r="Y1421" s="4">
        <v>0.01</v>
      </c>
      <c r="Z1421" s="4">
        <v>2.9</v>
      </c>
      <c r="AA1421" s="4" t="s">
        <v>77</v>
      </c>
      <c r="AB1421" s="4" t="s">
        <v>114</v>
      </c>
      <c r="AC1421" s="228" t="e">
        <f>HYPERLINK(#REF!,"ССЫЛКА")</f>
        <v>#REF!</v>
      </c>
      <c r="AD1421" s="16" t="s">
        <v>2859</v>
      </c>
    </row>
    <row r="1422" spans="1:30" s="12" customFormat="1" ht="39.950000000000003" hidden="1" customHeight="1" outlineLevel="1" x14ac:dyDescent="0.25">
      <c r="A1422" s="5"/>
      <c r="B1422" s="21" t="s">
        <v>503</v>
      </c>
      <c r="C1422" s="159" t="s">
        <v>561</v>
      </c>
      <c r="D1422" s="4">
        <v>16540</v>
      </c>
      <c r="E1422" s="4">
        <v>100</v>
      </c>
      <c r="F1422" s="4">
        <v>165</v>
      </c>
      <c r="G1422" s="4" t="s">
        <v>562</v>
      </c>
      <c r="H1422" s="4" t="s">
        <v>192</v>
      </c>
      <c r="I1422" s="4">
        <v>67</v>
      </c>
      <c r="J1422" s="4" t="s">
        <v>64</v>
      </c>
      <c r="K1422" s="5" t="s">
        <v>65</v>
      </c>
      <c r="L1422" s="4" t="s">
        <v>3380</v>
      </c>
      <c r="M1422" s="5" t="s">
        <v>506</v>
      </c>
      <c r="N1422" s="4" t="s">
        <v>67</v>
      </c>
      <c r="O1422" s="5" t="s">
        <v>68</v>
      </c>
      <c r="P1422" s="4" t="s">
        <v>69</v>
      </c>
      <c r="Q1422" s="5" t="s">
        <v>70</v>
      </c>
      <c r="R1422" s="4">
        <v>70</v>
      </c>
      <c r="S1422" s="4" t="s">
        <v>236</v>
      </c>
      <c r="T1422" s="4" t="s">
        <v>174</v>
      </c>
      <c r="U1422" s="4" t="s">
        <v>73</v>
      </c>
      <c r="V1422" s="5" t="s">
        <v>74</v>
      </c>
      <c r="W1422" s="5" t="s">
        <v>112</v>
      </c>
      <c r="X1422" s="4" t="s">
        <v>240</v>
      </c>
      <c r="Y1422" s="4">
        <v>0.01</v>
      </c>
      <c r="Z1422" s="4">
        <v>2.9</v>
      </c>
      <c r="AA1422" s="4" t="s">
        <v>77</v>
      </c>
      <c r="AB1422" s="4" t="s">
        <v>114</v>
      </c>
      <c r="AC1422" s="228" t="e">
        <f>HYPERLINK(#REF!,"ССЫЛКА")</f>
        <v>#REF!</v>
      </c>
      <c r="AD1422" s="16" t="s">
        <v>2859</v>
      </c>
    </row>
    <row r="1423" spans="1:30" s="12" customFormat="1" ht="39.950000000000003" hidden="1" customHeight="1" outlineLevel="1" x14ac:dyDescent="0.25">
      <c r="A1423" s="5"/>
      <c r="B1423" s="21" t="s">
        <v>503</v>
      </c>
      <c r="C1423" s="159" t="s">
        <v>563</v>
      </c>
      <c r="D1423" s="4">
        <v>16540</v>
      </c>
      <c r="E1423" s="4">
        <v>100</v>
      </c>
      <c r="F1423" s="4">
        <v>165</v>
      </c>
      <c r="G1423" s="4" t="s">
        <v>564</v>
      </c>
      <c r="H1423" s="4" t="s">
        <v>63</v>
      </c>
      <c r="I1423" s="4">
        <v>67</v>
      </c>
      <c r="J1423" s="4" t="s">
        <v>64</v>
      </c>
      <c r="K1423" s="5" t="s">
        <v>65</v>
      </c>
      <c r="L1423" s="4" t="s">
        <v>3380</v>
      </c>
      <c r="M1423" s="5" t="s">
        <v>506</v>
      </c>
      <c r="N1423" s="4" t="s">
        <v>67</v>
      </c>
      <c r="O1423" s="5" t="s">
        <v>68</v>
      </c>
      <c r="P1423" s="4" t="s">
        <v>69</v>
      </c>
      <c r="Q1423" s="5" t="s">
        <v>70</v>
      </c>
      <c r="R1423" s="4">
        <v>70</v>
      </c>
      <c r="S1423" s="4" t="s">
        <v>236</v>
      </c>
      <c r="T1423" s="4" t="s">
        <v>174</v>
      </c>
      <c r="U1423" s="4" t="s">
        <v>73</v>
      </c>
      <c r="V1423" s="5" t="s">
        <v>74</v>
      </c>
      <c r="W1423" s="5" t="s">
        <v>112</v>
      </c>
      <c r="X1423" s="4" t="s">
        <v>240</v>
      </c>
      <c r="Y1423" s="4">
        <v>0.01</v>
      </c>
      <c r="Z1423" s="4">
        <v>2.9</v>
      </c>
      <c r="AA1423" s="4" t="s">
        <v>77</v>
      </c>
      <c r="AB1423" s="4" t="s">
        <v>114</v>
      </c>
      <c r="AC1423" s="228" t="e">
        <f>HYPERLINK(#REF!,"ССЫЛКА")</f>
        <v>#REF!</v>
      </c>
      <c r="AD1423" s="16" t="s">
        <v>2859</v>
      </c>
    </row>
    <row r="1424" spans="1:30" s="12" customFormat="1" ht="39.950000000000003" hidden="1" customHeight="1" outlineLevel="1" x14ac:dyDescent="0.25">
      <c r="A1424" s="4"/>
      <c r="B1424" s="23" t="s">
        <v>565</v>
      </c>
      <c r="C1424" s="80" t="s">
        <v>599</v>
      </c>
      <c r="D1424" s="12">
        <v>14240</v>
      </c>
      <c r="E1424" s="12">
        <v>96</v>
      </c>
      <c r="F1424" s="12">
        <v>148</v>
      </c>
      <c r="G1424" s="12" t="s">
        <v>600</v>
      </c>
      <c r="H1424" s="12" t="s">
        <v>138</v>
      </c>
      <c r="I1424" s="12">
        <v>67</v>
      </c>
      <c r="J1424" s="12" t="s">
        <v>105</v>
      </c>
      <c r="K1424" s="1" t="s">
        <v>65</v>
      </c>
      <c r="L1424" s="12" t="s">
        <v>3380</v>
      </c>
      <c r="M1424" s="1" t="s">
        <v>506</v>
      </c>
      <c r="N1424" s="12" t="s">
        <v>67</v>
      </c>
      <c r="O1424" s="1" t="s">
        <v>139</v>
      </c>
      <c r="P1424" s="12" t="s">
        <v>69</v>
      </c>
      <c r="Q1424" s="1" t="s">
        <v>70</v>
      </c>
      <c r="R1424" s="12">
        <v>80</v>
      </c>
      <c r="S1424" s="12" t="s">
        <v>155</v>
      </c>
      <c r="T1424" s="12" t="s">
        <v>141</v>
      </c>
      <c r="U1424" s="12" t="s">
        <v>73</v>
      </c>
      <c r="V1424" s="1" t="s">
        <v>74</v>
      </c>
      <c r="W1424" s="1" t="s">
        <v>112</v>
      </c>
      <c r="X1424" s="12" t="s">
        <v>598</v>
      </c>
      <c r="Y1424" s="12">
        <v>0.1</v>
      </c>
      <c r="Z1424" s="12">
        <v>1.9</v>
      </c>
      <c r="AA1424" s="12" t="s">
        <v>77</v>
      </c>
      <c r="AB1424" s="12" t="s">
        <v>114</v>
      </c>
      <c r="AC1424" s="226" t="s">
        <v>3852</v>
      </c>
      <c r="AD1424" s="16" t="s">
        <v>2859</v>
      </c>
    </row>
    <row r="1425" spans="1:30" s="12" customFormat="1" ht="39.950000000000003" hidden="1" customHeight="1" outlineLevel="1" x14ac:dyDescent="0.25">
      <c r="A1425" s="5"/>
      <c r="B1425" s="23" t="s">
        <v>565</v>
      </c>
      <c r="C1425" s="80" t="s">
        <v>629</v>
      </c>
      <c r="D1425" s="12">
        <v>14240</v>
      </c>
      <c r="E1425" s="12">
        <v>96</v>
      </c>
      <c r="F1425" s="12">
        <v>148</v>
      </c>
      <c r="G1425" s="12" t="s">
        <v>630</v>
      </c>
      <c r="H1425" s="12" t="s">
        <v>138</v>
      </c>
      <c r="I1425" s="12">
        <v>67</v>
      </c>
      <c r="J1425" s="12" t="s">
        <v>105</v>
      </c>
      <c r="K1425" s="1" t="s">
        <v>65</v>
      </c>
      <c r="L1425" s="12" t="s">
        <v>3380</v>
      </c>
      <c r="M1425" s="1" t="s">
        <v>506</v>
      </c>
      <c r="N1425" s="12" t="s">
        <v>67</v>
      </c>
      <c r="O1425" s="1" t="s">
        <v>139</v>
      </c>
      <c r="P1425" s="12" t="s">
        <v>69</v>
      </c>
      <c r="Q1425" s="1" t="s">
        <v>70</v>
      </c>
      <c r="R1425" s="12">
        <v>80</v>
      </c>
      <c r="S1425" s="12" t="s">
        <v>155</v>
      </c>
      <c r="T1425" s="12" t="s">
        <v>141</v>
      </c>
      <c r="U1425" s="12" t="s">
        <v>73</v>
      </c>
      <c r="V1425" s="1" t="s">
        <v>74</v>
      </c>
      <c r="W1425" s="1" t="s">
        <v>160</v>
      </c>
      <c r="X1425" s="12" t="s">
        <v>628</v>
      </c>
      <c r="Y1425" s="12">
        <v>0.1</v>
      </c>
      <c r="Z1425" s="12">
        <v>1.9</v>
      </c>
      <c r="AA1425" s="12" t="s">
        <v>77</v>
      </c>
      <c r="AB1425" s="12" t="s">
        <v>114</v>
      </c>
      <c r="AC1425" s="226" t="s">
        <v>3852</v>
      </c>
      <c r="AD1425" s="16" t="s">
        <v>2859</v>
      </c>
    </row>
    <row r="1426" spans="1:30" s="12" customFormat="1" ht="39.950000000000003" hidden="1" customHeight="1" outlineLevel="1" x14ac:dyDescent="0.25">
      <c r="A1426" s="5"/>
      <c r="B1426" s="23" t="s">
        <v>784</v>
      </c>
      <c r="C1426" s="80" t="s">
        <v>868</v>
      </c>
      <c r="D1426" s="12">
        <v>11950</v>
      </c>
      <c r="E1426" s="12">
        <v>79</v>
      </c>
      <c r="F1426" s="12">
        <v>151</v>
      </c>
      <c r="G1426" s="12" t="s">
        <v>869</v>
      </c>
      <c r="H1426" s="12" t="s">
        <v>183</v>
      </c>
      <c r="I1426" s="12">
        <v>67</v>
      </c>
      <c r="J1426" s="12" t="s">
        <v>105</v>
      </c>
      <c r="K1426" s="1" t="s">
        <v>65</v>
      </c>
      <c r="L1426" s="12" t="s">
        <v>3380</v>
      </c>
      <c r="M1426" s="1" t="s">
        <v>506</v>
      </c>
      <c r="N1426" s="12" t="s">
        <v>67</v>
      </c>
      <c r="O1426" s="1" t="s">
        <v>68</v>
      </c>
      <c r="P1426" s="12" t="s">
        <v>69</v>
      </c>
      <c r="Q1426" s="1" t="s">
        <v>70</v>
      </c>
      <c r="R1426" s="12">
        <v>70</v>
      </c>
      <c r="S1426" s="12" t="s">
        <v>216</v>
      </c>
      <c r="T1426" s="12" t="s">
        <v>174</v>
      </c>
      <c r="U1426" s="12" t="s">
        <v>73</v>
      </c>
      <c r="V1426" s="1" t="s">
        <v>74</v>
      </c>
      <c r="W1426" s="1" t="s">
        <v>112</v>
      </c>
      <c r="X1426" s="12" t="s">
        <v>853</v>
      </c>
      <c r="Y1426" s="12">
        <v>1.6951999999999998E-2</v>
      </c>
      <c r="Z1426" s="12">
        <v>2.6</v>
      </c>
      <c r="AA1426" s="12" t="s">
        <v>77</v>
      </c>
      <c r="AB1426" s="12" t="s">
        <v>114</v>
      </c>
      <c r="AC1426" s="226" t="e">
        <f>HYPERLINK(#REF!,"ССЫЛКА")</f>
        <v>#REF!</v>
      </c>
      <c r="AD1426" s="16" t="s">
        <v>2859</v>
      </c>
    </row>
    <row r="1427" spans="1:30" s="12" customFormat="1" ht="39.950000000000003" hidden="1" customHeight="1" outlineLevel="1" x14ac:dyDescent="0.25">
      <c r="A1427" s="4"/>
      <c r="B1427" s="23" t="s">
        <v>1579</v>
      </c>
      <c r="C1427" s="80" t="s">
        <v>1580</v>
      </c>
      <c r="D1427" s="12">
        <v>4620</v>
      </c>
      <c r="E1427" s="12">
        <v>35</v>
      </c>
      <c r="F1427" s="12">
        <v>132</v>
      </c>
      <c r="G1427" s="12" t="s">
        <v>1581</v>
      </c>
      <c r="H1427" s="12" t="s">
        <v>138</v>
      </c>
      <c r="I1427" s="12">
        <v>65</v>
      </c>
      <c r="J1427" s="12" t="s">
        <v>389</v>
      </c>
      <c r="K1427" s="1" t="s">
        <v>106</v>
      </c>
      <c r="L1427" s="12" t="s">
        <v>3380</v>
      </c>
      <c r="M1427" s="1" t="s">
        <v>568</v>
      </c>
      <c r="N1427" s="12" t="s">
        <v>67</v>
      </c>
      <c r="O1427" s="1" t="s">
        <v>1582</v>
      </c>
      <c r="P1427" s="12" t="s">
        <v>109</v>
      </c>
      <c r="Q1427" s="1" t="s">
        <v>70</v>
      </c>
      <c r="R1427" s="12" t="s">
        <v>1583</v>
      </c>
      <c r="S1427" s="12" t="s">
        <v>1584</v>
      </c>
      <c r="T1427" s="12" t="s">
        <v>1585</v>
      </c>
      <c r="U1427" s="12" t="s">
        <v>73</v>
      </c>
      <c r="V1427" s="1" t="s">
        <v>74</v>
      </c>
      <c r="W1427" s="1" t="s">
        <v>112</v>
      </c>
      <c r="X1427" s="12" t="s">
        <v>1586</v>
      </c>
      <c r="Y1427" s="12">
        <v>0.01</v>
      </c>
      <c r="Z1427" s="12">
        <v>1.85</v>
      </c>
      <c r="AA1427" s="12" t="s">
        <v>77</v>
      </c>
      <c r="AB1427" s="12" t="s">
        <v>114</v>
      </c>
      <c r="AC1427" s="226" t="e">
        <f>HYPERLINK(#REF!,"ССЫЛКА")</f>
        <v>#REF!</v>
      </c>
      <c r="AD1427" s="16" t="s">
        <v>2859</v>
      </c>
    </row>
    <row r="1428" spans="1:30" s="12" customFormat="1" ht="39.950000000000003" hidden="1" customHeight="1" outlineLevel="1" x14ac:dyDescent="0.25">
      <c r="A1428" s="5"/>
      <c r="B1428" s="23" t="s">
        <v>1579</v>
      </c>
      <c r="C1428" s="80" t="s">
        <v>1587</v>
      </c>
      <c r="D1428" s="12">
        <v>6600</v>
      </c>
      <c r="E1428" s="12">
        <v>50</v>
      </c>
      <c r="F1428" s="12">
        <v>132</v>
      </c>
      <c r="G1428" s="12" t="s">
        <v>1588</v>
      </c>
      <c r="H1428" s="12" t="s">
        <v>138</v>
      </c>
      <c r="I1428" s="12">
        <v>65</v>
      </c>
      <c r="J1428" s="12" t="s">
        <v>389</v>
      </c>
      <c r="K1428" s="1" t="s">
        <v>106</v>
      </c>
      <c r="L1428" s="12" t="s">
        <v>3380</v>
      </c>
      <c r="M1428" s="1" t="s">
        <v>568</v>
      </c>
      <c r="N1428" s="12" t="s">
        <v>67</v>
      </c>
      <c r="O1428" s="1" t="s">
        <v>1582</v>
      </c>
      <c r="P1428" s="12" t="s">
        <v>109</v>
      </c>
      <c r="Q1428" s="1" t="s">
        <v>70</v>
      </c>
      <c r="R1428" s="12" t="s">
        <v>1583</v>
      </c>
      <c r="S1428" s="12" t="s">
        <v>1589</v>
      </c>
      <c r="T1428" s="12" t="s">
        <v>1585</v>
      </c>
      <c r="U1428" s="12" t="s">
        <v>73</v>
      </c>
      <c r="V1428" s="1" t="s">
        <v>74</v>
      </c>
      <c r="W1428" s="1" t="s">
        <v>112</v>
      </c>
      <c r="X1428" s="12" t="s">
        <v>1590</v>
      </c>
      <c r="Y1428" s="12">
        <v>0.01</v>
      </c>
      <c r="Z1428" s="12">
        <v>1.85</v>
      </c>
      <c r="AA1428" s="12" t="s">
        <v>77</v>
      </c>
      <c r="AB1428" s="12" t="s">
        <v>114</v>
      </c>
      <c r="AC1428" s="226" t="e">
        <f>HYPERLINK(#REF!,"ССЫЛКА")</f>
        <v>#REF!</v>
      </c>
      <c r="AD1428" s="16" t="s">
        <v>2859</v>
      </c>
    </row>
    <row r="1429" spans="1:30" s="12" customFormat="1" ht="39.950000000000003" hidden="1" customHeight="1" outlineLevel="1" x14ac:dyDescent="0.25">
      <c r="A1429" s="5"/>
      <c r="B1429" s="23" t="s">
        <v>1579</v>
      </c>
      <c r="C1429" s="80" t="s">
        <v>1591</v>
      </c>
      <c r="D1429" s="12">
        <v>9240</v>
      </c>
      <c r="E1429" s="12">
        <v>70</v>
      </c>
      <c r="F1429" s="12">
        <v>132</v>
      </c>
      <c r="G1429" s="12" t="s">
        <v>1592</v>
      </c>
      <c r="H1429" s="12" t="s">
        <v>138</v>
      </c>
      <c r="I1429" s="12">
        <v>65</v>
      </c>
      <c r="J1429" s="12" t="s">
        <v>389</v>
      </c>
      <c r="K1429" s="1" t="s">
        <v>106</v>
      </c>
      <c r="L1429" s="12" t="s">
        <v>3380</v>
      </c>
      <c r="M1429" s="1" t="s">
        <v>568</v>
      </c>
      <c r="N1429" s="12" t="s">
        <v>67</v>
      </c>
      <c r="O1429" s="1" t="s">
        <v>1582</v>
      </c>
      <c r="P1429" s="12" t="s">
        <v>109</v>
      </c>
      <c r="Q1429" s="1" t="s">
        <v>70</v>
      </c>
      <c r="R1429" s="12" t="s">
        <v>1583</v>
      </c>
      <c r="S1429" s="12" t="s">
        <v>1593</v>
      </c>
      <c r="T1429" s="12" t="s">
        <v>1585</v>
      </c>
      <c r="U1429" s="12" t="s">
        <v>73</v>
      </c>
      <c r="V1429" s="1" t="s">
        <v>74</v>
      </c>
      <c r="W1429" s="1" t="s">
        <v>112</v>
      </c>
      <c r="X1429" s="12" t="s">
        <v>1594</v>
      </c>
      <c r="Y1429" s="12">
        <v>8.6400000000000001E-3</v>
      </c>
      <c r="Z1429" s="12">
        <v>1.92</v>
      </c>
      <c r="AA1429" s="12" t="s">
        <v>77</v>
      </c>
      <c r="AB1429" s="12" t="s">
        <v>114</v>
      </c>
      <c r="AC1429" s="226" t="e">
        <f>HYPERLINK(#REF!,"ССЫЛКА")</f>
        <v>#REF!</v>
      </c>
      <c r="AD1429" s="16" t="s">
        <v>2859</v>
      </c>
    </row>
    <row r="1430" spans="1:30" s="12" customFormat="1" ht="39.950000000000003" hidden="1" customHeight="1" outlineLevel="1" x14ac:dyDescent="0.25">
      <c r="A1430" s="5"/>
      <c r="B1430" s="23" t="s">
        <v>1579</v>
      </c>
      <c r="C1430" s="80" t="s">
        <v>1595</v>
      </c>
      <c r="D1430" s="12">
        <v>13200</v>
      </c>
      <c r="E1430" s="12">
        <v>100</v>
      </c>
      <c r="F1430" s="12">
        <v>132</v>
      </c>
      <c r="G1430" s="12" t="s">
        <v>1596</v>
      </c>
      <c r="H1430" s="12" t="s">
        <v>138</v>
      </c>
      <c r="I1430" s="12">
        <v>65</v>
      </c>
      <c r="J1430" s="12" t="s">
        <v>389</v>
      </c>
      <c r="K1430" s="1" t="s">
        <v>106</v>
      </c>
      <c r="L1430" s="12" t="s">
        <v>3380</v>
      </c>
      <c r="M1430" s="1" t="s">
        <v>568</v>
      </c>
      <c r="N1430" s="12" t="s">
        <v>67</v>
      </c>
      <c r="O1430" s="1" t="s">
        <v>1582</v>
      </c>
      <c r="P1430" s="12" t="s">
        <v>109</v>
      </c>
      <c r="Q1430" s="1" t="s">
        <v>70</v>
      </c>
      <c r="R1430" s="12" t="s">
        <v>1583</v>
      </c>
      <c r="S1430" s="12" t="s">
        <v>1597</v>
      </c>
      <c r="T1430" s="12" t="s">
        <v>1585</v>
      </c>
      <c r="U1430" s="12" t="s">
        <v>73</v>
      </c>
      <c r="V1430" s="1" t="s">
        <v>74</v>
      </c>
      <c r="W1430" s="1" t="s">
        <v>112</v>
      </c>
      <c r="X1430" s="12" t="s">
        <v>1594</v>
      </c>
      <c r="Y1430" s="12">
        <v>8.6400000000000001E-3</v>
      </c>
      <c r="Z1430" s="12">
        <v>3.2</v>
      </c>
      <c r="AA1430" s="12" t="s">
        <v>77</v>
      </c>
      <c r="AB1430" s="12" t="s">
        <v>114</v>
      </c>
      <c r="AC1430" s="226" t="e">
        <f>HYPERLINK(#REF!,"ССЫЛКА")</f>
        <v>#REF!</v>
      </c>
      <c r="AD1430" s="16" t="s">
        <v>2859</v>
      </c>
    </row>
    <row r="1431" spans="1:30" s="12" customFormat="1" ht="39.950000000000003" hidden="1" customHeight="1" outlineLevel="1" x14ac:dyDescent="0.25">
      <c r="A1431" s="5"/>
      <c r="B1431" s="23" t="s">
        <v>1579</v>
      </c>
      <c r="C1431" s="80" t="s">
        <v>1598</v>
      </c>
      <c r="D1431" s="12">
        <v>19800</v>
      </c>
      <c r="E1431" s="12">
        <v>150</v>
      </c>
      <c r="F1431" s="12">
        <v>132</v>
      </c>
      <c r="G1431" s="12" t="s">
        <v>1599</v>
      </c>
      <c r="H1431" s="12" t="s">
        <v>138</v>
      </c>
      <c r="I1431" s="12">
        <v>65</v>
      </c>
      <c r="J1431" s="12" t="s">
        <v>389</v>
      </c>
      <c r="K1431" s="1" t="s">
        <v>106</v>
      </c>
      <c r="L1431" s="12" t="s">
        <v>3380</v>
      </c>
      <c r="M1431" s="1" t="s">
        <v>568</v>
      </c>
      <c r="N1431" s="12" t="s">
        <v>67</v>
      </c>
      <c r="O1431" s="1" t="s">
        <v>1582</v>
      </c>
      <c r="P1431" s="12" t="s">
        <v>109</v>
      </c>
      <c r="Q1431" s="1" t="s">
        <v>70</v>
      </c>
      <c r="R1431" s="12" t="s">
        <v>1583</v>
      </c>
      <c r="S1431" s="12" t="s">
        <v>1600</v>
      </c>
      <c r="T1431" s="12" t="s">
        <v>1585</v>
      </c>
      <c r="U1431" s="12" t="s">
        <v>73</v>
      </c>
      <c r="V1431" s="1" t="s">
        <v>74</v>
      </c>
      <c r="W1431" s="1" t="s">
        <v>112</v>
      </c>
      <c r="X1431" s="12" t="s">
        <v>1601</v>
      </c>
      <c r="Y1431" s="12">
        <v>1.2959999999999999E-2</v>
      </c>
      <c r="Z1431" s="12">
        <v>4.3499999999999996</v>
      </c>
      <c r="AA1431" s="12" t="s">
        <v>77</v>
      </c>
      <c r="AB1431" s="12" t="s">
        <v>114</v>
      </c>
      <c r="AC1431" s="226" t="e">
        <f>HYPERLINK(#REF!,"ССЫЛКА")</f>
        <v>#REF!</v>
      </c>
      <c r="AD1431" s="16" t="s">
        <v>2859</v>
      </c>
    </row>
    <row r="1432" spans="1:30" s="12" customFormat="1" ht="39.950000000000003" hidden="1" customHeight="1" outlineLevel="1" x14ac:dyDescent="0.25">
      <c r="A1432" s="5"/>
      <c r="B1432" s="23" t="s">
        <v>1579</v>
      </c>
      <c r="C1432" s="80" t="s">
        <v>1602</v>
      </c>
      <c r="D1432" s="12">
        <v>26400</v>
      </c>
      <c r="E1432" s="12">
        <v>200</v>
      </c>
      <c r="F1432" s="12">
        <v>132</v>
      </c>
      <c r="G1432" s="12" t="s">
        <v>1603</v>
      </c>
      <c r="H1432" s="12" t="s">
        <v>138</v>
      </c>
      <c r="I1432" s="12">
        <v>65</v>
      </c>
      <c r="J1432" s="12" t="s">
        <v>389</v>
      </c>
      <c r="K1432" s="1" t="s">
        <v>106</v>
      </c>
      <c r="L1432" s="12" t="s">
        <v>3380</v>
      </c>
      <c r="M1432" s="1" t="s">
        <v>568</v>
      </c>
      <c r="N1432" s="12" t="s">
        <v>67</v>
      </c>
      <c r="O1432" s="1" t="s">
        <v>1582</v>
      </c>
      <c r="P1432" s="12" t="s">
        <v>109</v>
      </c>
      <c r="Q1432" s="1" t="s">
        <v>70</v>
      </c>
      <c r="R1432" s="12" t="s">
        <v>1583</v>
      </c>
      <c r="S1432" s="12" t="s">
        <v>1604</v>
      </c>
      <c r="T1432" s="12" t="s">
        <v>1585</v>
      </c>
      <c r="U1432" s="12" t="s">
        <v>73</v>
      </c>
      <c r="V1432" s="1" t="s">
        <v>74</v>
      </c>
      <c r="W1432" s="1" t="s">
        <v>112</v>
      </c>
      <c r="X1432" s="12" t="s">
        <v>1605</v>
      </c>
      <c r="Y1432" s="12">
        <v>1.728E-2</v>
      </c>
      <c r="Z1432" s="12">
        <v>6.4</v>
      </c>
      <c r="AA1432" s="12" t="s">
        <v>77</v>
      </c>
      <c r="AB1432" s="12" t="s">
        <v>114</v>
      </c>
      <c r="AC1432" s="226" t="e">
        <f>HYPERLINK(#REF!,"ССЫЛКА")</f>
        <v>#REF!</v>
      </c>
      <c r="AD1432" s="16" t="s">
        <v>2859</v>
      </c>
    </row>
    <row r="1433" spans="1:30" s="12" customFormat="1" ht="39.950000000000003" hidden="1" customHeight="1" outlineLevel="1" x14ac:dyDescent="0.25">
      <c r="A1433" s="5"/>
      <c r="B1433" s="23" t="s">
        <v>1579</v>
      </c>
      <c r="C1433" s="80" t="s">
        <v>1606</v>
      </c>
      <c r="D1433" s="12">
        <v>39600</v>
      </c>
      <c r="E1433" s="12">
        <v>300</v>
      </c>
      <c r="F1433" s="12">
        <v>132</v>
      </c>
      <c r="G1433" s="12" t="s">
        <v>1607</v>
      </c>
      <c r="H1433" s="12" t="s">
        <v>138</v>
      </c>
      <c r="I1433" s="12">
        <v>65</v>
      </c>
      <c r="J1433" s="12" t="s">
        <v>389</v>
      </c>
      <c r="K1433" s="1" t="s">
        <v>106</v>
      </c>
      <c r="L1433" s="12" t="s">
        <v>3380</v>
      </c>
      <c r="M1433" s="1" t="s">
        <v>568</v>
      </c>
      <c r="N1433" s="12" t="s">
        <v>67</v>
      </c>
      <c r="O1433" s="1" t="s">
        <v>1582</v>
      </c>
      <c r="P1433" s="12" t="s">
        <v>109</v>
      </c>
      <c r="Q1433" s="1" t="s">
        <v>70</v>
      </c>
      <c r="R1433" s="12" t="s">
        <v>1583</v>
      </c>
      <c r="S1433" s="12" t="s">
        <v>1608</v>
      </c>
      <c r="T1433" s="12" t="s">
        <v>1585</v>
      </c>
      <c r="U1433" s="12" t="s">
        <v>73</v>
      </c>
      <c r="V1433" s="1" t="s">
        <v>74</v>
      </c>
      <c r="W1433" s="1" t="s">
        <v>112</v>
      </c>
      <c r="X1433" s="12" t="s">
        <v>1609</v>
      </c>
      <c r="Y1433" s="12">
        <v>2.5919999999999999E-2</v>
      </c>
      <c r="Z1433" s="12">
        <v>9.6</v>
      </c>
      <c r="AA1433" s="12" t="s">
        <v>77</v>
      </c>
      <c r="AB1433" s="12" t="s">
        <v>114</v>
      </c>
      <c r="AC1433" s="226" t="e">
        <f>HYPERLINK(#REF!,"ССЫЛКА")</f>
        <v>#REF!</v>
      </c>
      <c r="AD1433" s="16" t="s">
        <v>2859</v>
      </c>
    </row>
    <row r="1434" spans="1:30" s="12" customFormat="1" ht="39.950000000000003" hidden="1" customHeight="1" outlineLevel="1" x14ac:dyDescent="0.25">
      <c r="A1434" s="5"/>
      <c r="B1434" s="23" t="s">
        <v>1579</v>
      </c>
      <c r="C1434" s="80" t="s">
        <v>1610</v>
      </c>
      <c r="D1434" s="12">
        <v>52800</v>
      </c>
      <c r="E1434" s="12">
        <v>400</v>
      </c>
      <c r="F1434" s="12">
        <v>132</v>
      </c>
      <c r="G1434" s="12" t="s">
        <v>1611</v>
      </c>
      <c r="H1434" s="12" t="s">
        <v>138</v>
      </c>
      <c r="I1434" s="12">
        <v>65</v>
      </c>
      <c r="J1434" s="12" t="s">
        <v>389</v>
      </c>
      <c r="K1434" s="1" t="s">
        <v>106</v>
      </c>
      <c r="L1434" s="12" t="s">
        <v>3380</v>
      </c>
      <c r="M1434" s="1" t="s">
        <v>568</v>
      </c>
      <c r="N1434" s="12" t="s">
        <v>67</v>
      </c>
      <c r="O1434" s="1" t="s">
        <v>1582</v>
      </c>
      <c r="P1434" s="12" t="s">
        <v>109</v>
      </c>
      <c r="Q1434" s="1" t="s">
        <v>70</v>
      </c>
      <c r="R1434" s="12" t="s">
        <v>1583</v>
      </c>
      <c r="S1434" s="12" t="s">
        <v>1612</v>
      </c>
      <c r="T1434" s="12" t="s">
        <v>1585</v>
      </c>
      <c r="U1434" s="12" t="s">
        <v>73</v>
      </c>
      <c r="V1434" s="1" t="s">
        <v>74</v>
      </c>
      <c r="W1434" s="1" t="s">
        <v>112</v>
      </c>
      <c r="X1434" s="12" t="s">
        <v>1613</v>
      </c>
      <c r="Y1434" s="12">
        <v>3.456E-2</v>
      </c>
      <c r="Z1434" s="12">
        <v>12.8</v>
      </c>
      <c r="AA1434" s="12" t="s">
        <v>77</v>
      </c>
      <c r="AB1434" s="12" t="s">
        <v>114</v>
      </c>
      <c r="AC1434" s="226" t="e">
        <f>HYPERLINK(#REF!,"ССЫЛКА")</f>
        <v>#REF!</v>
      </c>
      <c r="AD1434" s="16" t="s">
        <v>2859</v>
      </c>
    </row>
    <row r="1435" spans="1:30" s="12" customFormat="1" ht="39.950000000000003" hidden="1" customHeight="1" outlineLevel="1" x14ac:dyDescent="0.25">
      <c r="A1435" s="5"/>
      <c r="B1435" s="23" t="s">
        <v>2236</v>
      </c>
      <c r="C1435" s="80" t="s">
        <v>2237</v>
      </c>
      <c r="D1435" s="12">
        <v>1600</v>
      </c>
      <c r="E1435" s="12">
        <v>16</v>
      </c>
      <c r="F1435" s="12">
        <v>100</v>
      </c>
      <c r="G1435" s="12" t="s">
        <v>2238</v>
      </c>
      <c r="H1435" s="12" t="s">
        <v>138</v>
      </c>
      <c r="I1435" s="12">
        <v>65</v>
      </c>
      <c r="J1435" s="12" t="s">
        <v>389</v>
      </c>
      <c r="K1435" s="1" t="s">
        <v>2142</v>
      </c>
      <c r="L1435" s="12" t="s">
        <v>59</v>
      </c>
      <c r="M1435" s="1" t="s">
        <v>1719</v>
      </c>
      <c r="N1435" s="12" t="s">
        <v>2138</v>
      </c>
      <c r="O1435" s="1" t="s">
        <v>1553</v>
      </c>
      <c r="P1435" s="12" t="s">
        <v>69</v>
      </c>
      <c r="Q1435" s="1" t="s">
        <v>70</v>
      </c>
      <c r="R1435" s="12">
        <v>80</v>
      </c>
      <c r="S1435" s="12" t="s">
        <v>2200</v>
      </c>
      <c r="T1435" s="12" t="s">
        <v>2187</v>
      </c>
      <c r="U1435" s="12" t="s">
        <v>73</v>
      </c>
      <c r="V1435" s="1" t="s">
        <v>74</v>
      </c>
      <c r="W1435" s="1" t="s">
        <v>112</v>
      </c>
      <c r="X1435" s="12" t="s">
        <v>2137</v>
      </c>
      <c r="Y1435" s="12">
        <v>5.4599999999999996E-3</v>
      </c>
      <c r="Z1435" s="12">
        <v>1.43</v>
      </c>
      <c r="AA1435" s="12" t="s">
        <v>77</v>
      </c>
      <c r="AB1435" s="12" t="s">
        <v>114</v>
      </c>
      <c r="AC1435" s="226" t="e">
        <f>HYPERLINK(#REF!,"ССЫЛКА")</f>
        <v>#REF!</v>
      </c>
      <c r="AD1435" s="85" t="s">
        <v>2859</v>
      </c>
    </row>
    <row r="1436" spans="1:30" s="12" customFormat="1" ht="39.950000000000003" hidden="1" customHeight="1" outlineLevel="1" x14ac:dyDescent="0.25">
      <c r="A1436" s="5"/>
      <c r="B1436" s="23" t="s">
        <v>2236</v>
      </c>
      <c r="C1436" s="80" t="s">
        <v>2239</v>
      </c>
      <c r="D1436" s="12">
        <v>1600</v>
      </c>
      <c r="E1436" s="12">
        <v>16</v>
      </c>
      <c r="F1436" s="12">
        <v>100</v>
      </c>
      <c r="G1436" s="12" t="s">
        <v>2240</v>
      </c>
      <c r="H1436" s="12" t="s">
        <v>138</v>
      </c>
      <c r="I1436" s="12">
        <v>65</v>
      </c>
      <c r="J1436" s="12" t="s">
        <v>389</v>
      </c>
      <c r="K1436" s="1" t="s">
        <v>1876</v>
      </c>
      <c r="L1436" s="12" t="s">
        <v>59</v>
      </c>
      <c r="M1436" s="1" t="s">
        <v>1719</v>
      </c>
      <c r="N1436" s="12" t="s">
        <v>2138</v>
      </c>
      <c r="O1436" s="1" t="s">
        <v>1553</v>
      </c>
      <c r="P1436" s="12" t="s">
        <v>69</v>
      </c>
      <c r="Q1436" s="1" t="s">
        <v>70</v>
      </c>
      <c r="R1436" s="12">
        <v>80</v>
      </c>
      <c r="S1436" s="12" t="s">
        <v>2200</v>
      </c>
      <c r="T1436" s="12" t="s">
        <v>2187</v>
      </c>
      <c r="U1436" s="12" t="s">
        <v>73</v>
      </c>
      <c r="V1436" s="1" t="s">
        <v>74</v>
      </c>
      <c r="W1436" s="1" t="s">
        <v>112</v>
      </c>
      <c r="X1436" s="12" t="s">
        <v>2137</v>
      </c>
      <c r="Y1436" s="12">
        <v>5.4599999999999996E-3</v>
      </c>
      <c r="Z1436" s="12">
        <v>1.43</v>
      </c>
      <c r="AA1436" s="12" t="s">
        <v>77</v>
      </c>
      <c r="AB1436" s="12" t="s">
        <v>114</v>
      </c>
      <c r="AC1436" s="226" t="e">
        <f>HYPERLINK(#REF!,"ССЫЛКА")</f>
        <v>#REF!</v>
      </c>
      <c r="AD1436" s="85" t="s">
        <v>2859</v>
      </c>
    </row>
    <row r="1437" spans="1:30" s="12" customFormat="1" ht="39.950000000000003" hidden="1" customHeight="1" outlineLevel="1" x14ac:dyDescent="0.25">
      <c r="A1437" s="5"/>
      <c r="B1437" s="23" t="s">
        <v>2236</v>
      </c>
      <c r="C1437" s="80" t="s">
        <v>2241</v>
      </c>
      <c r="D1437" s="12">
        <v>1600</v>
      </c>
      <c r="E1437" s="12">
        <v>16</v>
      </c>
      <c r="F1437" s="12">
        <v>100</v>
      </c>
      <c r="G1437" s="12" t="s">
        <v>2242</v>
      </c>
      <c r="H1437" s="12" t="s">
        <v>138</v>
      </c>
      <c r="I1437" s="12">
        <v>65</v>
      </c>
      <c r="J1437" s="12" t="s">
        <v>389</v>
      </c>
      <c r="K1437" s="1" t="s">
        <v>2149</v>
      </c>
      <c r="L1437" s="12" t="s">
        <v>59</v>
      </c>
      <c r="M1437" s="1" t="s">
        <v>1719</v>
      </c>
      <c r="N1437" s="12" t="s">
        <v>2138</v>
      </c>
      <c r="O1437" s="1" t="s">
        <v>1553</v>
      </c>
      <c r="P1437" s="12" t="s">
        <v>69</v>
      </c>
      <c r="Q1437" s="1" t="s">
        <v>70</v>
      </c>
      <c r="R1437" s="12">
        <v>80</v>
      </c>
      <c r="S1437" s="12" t="s">
        <v>2200</v>
      </c>
      <c r="T1437" s="12" t="s">
        <v>2187</v>
      </c>
      <c r="U1437" s="12" t="s">
        <v>73</v>
      </c>
      <c r="V1437" s="1" t="s">
        <v>74</v>
      </c>
      <c r="W1437" s="1" t="s">
        <v>112</v>
      </c>
      <c r="X1437" s="12" t="s">
        <v>2137</v>
      </c>
      <c r="Y1437" s="12">
        <v>5.4599999999999996E-3</v>
      </c>
      <c r="Z1437" s="12">
        <v>1.43</v>
      </c>
      <c r="AA1437" s="12" t="s">
        <v>77</v>
      </c>
      <c r="AB1437" s="12" t="s">
        <v>114</v>
      </c>
      <c r="AC1437" s="226" t="e">
        <f>HYPERLINK(#REF!,"ССЫЛКА")</f>
        <v>#REF!</v>
      </c>
      <c r="AD1437" s="85" t="s">
        <v>2859</v>
      </c>
    </row>
    <row r="1438" spans="1:30" s="12" customFormat="1" ht="39.950000000000003" hidden="1" customHeight="1" outlineLevel="1" x14ac:dyDescent="0.25">
      <c r="A1438" s="5"/>
      <c r="B1438" s="23" t="s">
        <v>2236</v>
      </c>
      <c r="C1438" s="80" t="s">
        <v>2243</v>
      </c>
      <c r="D1438" s="12">
        <v>1600</v>
      </c>
      <c r="E1438" s="12">
        <v>16</v>
      </c>
      <c r="F1438" s="12">
        <v>100</v>
      </c>
      <c r="G1438" s="12" t="s">
        <v>2244</v>
      </c>
      <c r="H1438" s="12" t="s">
        <v>138</v>
      </c>
      <c r="I1438" s="12">
        <v>65</v>
      </c>
      <c r="J1438" s="12" t="s">
        <v>389</v>
      </c>
      <c r="K1438" s="1" t="s">
        <v>2152</v>
      </c>
      <c r="L1438" s="12" t="s">
        <v>59</v>
      </c>
      <c r="M1438" s="1" t="s">
        <v>1719</v>
      </c>
      <c r="N1438" s="12" t="s">
        <v>2138</v>
      </c>
      <c r="O1438" s="1" t="s">
        <v>1553</v>
      </c>
      <c r="P1438" s="12" t="s">
        <v>69</v>
      </c>
      <c r="Q1438" s="1" t="s">
        <v>70</v>
      </c>
      <c r="R1438" s="12">
        <v>80</v>
      </c>
      <c r="S1438" s="12" t="s">
        <v>2200</v>
      </c>
      <c r="T1438" s="12" t="s">
        <v>2187</v>
      </c>
      <c r="U1438" s="12" t="s">
        <v>73</v>
      </c>
      <c r="V1438" s="1" t="s">
        <v>74</v>
      </c>
      <c r="W1438" s="1" t="s">
        <v>112</v>
      </c>
      <c r="X1438" s="12" t="s">
        <v>2137</v>
      </c>
      <c r="Y1438" s="12">
        <v>5.4599999999999996E-3</v>
      </c>
      <c r="Z1438" s="12">
        <v>1.43</v>
      </c>
      <c r="AA1438" s="12" t="s">
        <v>77</v>
      </c>
      <c r="AB1438" s="12" t="s">
        <v>114</v>
      </c>
      <c r="AC1438" s="226" t="e">
        <f>HYPERLINK(#REF!,"ССЫЛКА")</f>
        <v>#REF!</v>
      </c>
      <c r="AD1438" s="85" t="s">
        <v>2859</v>
      </c>
    </row>
    <row r="1439" spans="1:30" s="12" customFormat="1" ht="39.950000000000003" hidden="1" customHeight="1" outlineLevel="1" x14ac:dyDescent="0.25">
      <c r="A1439" s="5"/>
      <c r="B1439" s="23" t="s">
        <v>2236</v>
      </c>
      <c r="C1439" s="80" t="s">
        <v>2245</v>
      </c>
      <c r="D1439" s="12">
        <v>1600</v>
      </c>
      <c r="E1439" s="12">
        <v>16</v>
      </c>
      <c r="F1439" s="12">
        <v>100</v>
      </c>
      <c r="G1439" s="12" t="s">
        <v>2246</v>
      </c>
      <c r="H1439" s="12" t="s">
        <v>138</v>
      </c>
      <c r="I1439" s="12">
        <v>65</v>
      </c>
      <c r="J1439" s="12" t="s">
        <v>389</v>
      </c>
      <c r="K1439" s="1" t="s">
        <v>2155</v>
      </c>
      <c r="L1439" s="12" t="s">
        <v>59</v>
      </c>
      <c r="M1439" s="1" t="s">
        <v>1719</v>
      </c>
      <c r="N1439" s="12" t="s">
        <v>2138</v>
      </c>
      <c r="O1439" s="1" t="s">
        <v>1553</v>
      </c>
      <c r="P1439" s="12" t="s">
        <v>69</v>
      </c>
      <c r="Q1439" s="1" t="s">
        <v>70</v>
      </c>
      <c r="R1439" s="12">
        <v>80</v>
      </c>
      <c r="S1439" s="12" t="s">
        <v>2200</v>
      </c>
      <c r="T1439" s="12" t="s">
        <v>2187</v>
      </c>
      <c r="U1439" s="12" t="s">
        <v>73</v>
      </c>
      <c r="V1439" s="1" t="s">
        <v>74</v>
      </c>
      <c r="W1439" s="1" t="s">
        <v>112</v>
      </c>
      <c r="X1439" s="12" t="s">
        <v>2137</v>
      </c>
      <c r="Y1439" s="12">
        <v>5.4599999999999996E-3</v>
      </c>
      <c r="Z1439" s="12">
        <v>1.43</v>
      </c>
      <c r="AA1439" s="12" t="s">
        <v>77</v>
      </c>
      <c r="AB1439" s="12" t="s">
        <v>114</v>
      </c>
      <c r="AC1439" s="226" t="e">
        <f>HYPERLINK(#REF!,"ССЫЛКА")</f>
        <v>#REF!</v>
      </c>
      <c r="AD1439" s="85" t="s">
        <v>2859</v>
      </c>
    </row>
    <row r="1440" spans="1:30" s="12" customFormat="1" ht="39.950000000000003" hidden="1" customHeight="1" outlineLevel="1" x14ac:dyDescent="0.25">
      <c r="A1440" s="5"/>
      <c r="B1440" s="23" t="s">
        <v>2236</v>
      </c>
      <c r="C1440" s="80" t="s">
        <v>2247</v>
      </c>
      <c r="D1440" s="12">
        <v>1600</v>
      </c>
      <c r="E1440" s="12">
        <v>16</v>
      </c>
      <c r="F1440" s="12">
        <v>100</v>
      </c>
      <c r="G1440" s="12" t="s">
        <v>2248</v>
      </c>
      <c r="H1440" s="12" t="s">
        <v>138</v>
      </c>
      <c r="I1440" s="12">
        <v>65</v>
      </c>
      <c r="J1440" s="12" t="s">
        <v>389</v>
      </c>
      <c r="K1440" s="1" t="s">
        <v>2158</v>
      </c>
      <c r="L1440" s="12" t="s">
        <v>59</v>
      </c>
      <c r="M1440" s="1" t="s">
        <v>1719</v>
      </c>
      <c r="N1440" s="12" t="s">
        <v>2138</v>
      </c>
      <c r="O1440" s="1" t="s">
        <v>1553</v>
      </c>
      <c r="P1440" s="12" t="s">
        <v>69</v>
      </c>
      <c r="Q1440" s="1" t="s">
        <v>70</v>
      </c>
      <c r="R1440" s="12">
        <v>80</v>
      </c>
      <c r="S1440" s="12" t="s">
        <v>2200</v>
      </c>
      <c r="T1440" s="12" t="s">
        <v>2187</v>
      </c>
      <c r="U1440" s="12" t="s">
        <v>73</v>
      </c>
      <c r="V1440" s="1" t="s">
        <v>74</v>
      </c>
      <c r="W1440" s="1" t="s">
        <v>112</v>
      </c>
      <c r="X1440" s="12" t="s">
        <v>2137</v>
      </c>
      <c r="Y1440" s="12">
        <v>5.4599999999999996E-3</v>
      </c>
      <c r="Z1440" s="12">
        <v>1.43</v>
      </c>
      <c r="AA1440" s="12" t="s">
        <v>77</v>
      </c>
      <c r="AB1440" s="12" t="s">
        <v>114</v>
      </c>
      <c r="AC1440" s="226" t="e">
        <f>HYPERLINK(#REF!,"ССЫЛКА")</f>
        <v>#REF!</v>
      </c>
      <c r="AD1440" s="85" t="s">
        <v>2859</v>
      </c>
    </row>
    <row r="1441" spans="1:30" s="12" customFormat="1" ht="39.950000000000003" hidden="1" customHeight="1" outlineLevel="1" x14ac:dyDescent="0.25">
      <c r="A1441" s="5"/>
      <c r="B1441" s="23" t="s">
        <v>2236</v>
      </c>
      <c r="C1441" s="80" t="s">
        <v>2249</v>
      </c>
      <c r="D1441" s="12">
        <v>2280</v>
      </c>
      <c r="E1441" s="12">
        <v>24</v>
      </c>
      <c r="F1441" s="12">
        <v>95</v>
      </c>
      <c r="G1441" s="12" t="s">
        <v>2250</v>
      </c>
      <c r="H1441" s="12" t="s">
        <v>138</v>
      </c>
      <c r="I1441" s="12">
        <v>65</v>
      </c>
      <c r="J1441" s="12" t="s">
        <v>389</v>
      </c>
      <c r="K1441" s="1" t="s">
        <v>2142</v>
      </c>
      <c r="L1441" s="12" t="s">
        <v>59</v>
      </c>
      <c r="M1441" s="1" t="s">
        <v>1719</v>
      </c>
      <c r="N1441" s="12" t="s">
        <v>2138</v>
      </c>
      <c r="O1441" s="1" t="s">
        <v>1553</v>
      </c>
      <c r="P1441" s="12" t="s">
        <v>69</v>
      </c>
      <c r="Q1441" s="1" t="s">
        <v>70</v>
      </c>
      <c r="R1441" s="12">
        <v>80</v>
      </c>
      <c r="S1441" s="12" t="s">
        <v>2213</v>
      </c>
      <c r="T1441" s="12" t="s">
        <v>2187</v>
      </c>
      <c r="U1441" s="12" t="s">
        <v>73</v>
      </c>
      <c r="V1441" s="1" t="s">
        <v>74</v>
      </c>
      <c r="W1441" s="1" t="s">
        <v>112</v>
      </c>
      <c r="X1441" s="12" t="s">
        <v>2137</v>
      </c>
      <c r="Y1441" s="12">
        <v>7.3920000000000001E-3</v>
      </c>
      <c r="Z1441" s="12">
        <v>1.43</v>
      </c>
      <c r="AA1441" s="12" t="s">
        <v>77</v>
      </c>
      <c r="AB1441" s="12" t="s">
        <v>114</v>
      </c>
      <c r="AC1441" s="226" t="e">
        <f>HYPERLINK(#REF!,"ССЫЛКА")</f>
        <v>#REF!</v>
      </c>
      <c r="AD1441" s="85" t="s">
        <v>2859</v>
      </c>
    </row>
    <row r="1442" spans="1:30" s="12" customFormat="1" ht="39.950000000000003" hidden="1" customHeight="1" outlineLevel="1" x14ac:dyDescent="0.25">
      <c r="A1442" s="5"/>
      <c r="B1442" s="23" t="s">
        <v>2236</v>
      </c>
      <c r="C1442" s="80" t="s">
        <v>2251</v>
      </c>
      <c r="D1442" s="12">
        <v>2280</v>
      </c>
      <c r="E1442" s="12">
        <v>24</v>
      </c>
      <c r="F1442" s="12">
        <v>95</v>
      </c>
      <c r="G1442" s="12" t="s">
        <v>2252</v>
      </c>
      <c r="H1442" s="12" t="s">
        <v>138</v>
      </c>
      <c r="I1442" s="12">
        <v>65</v>
      </c>
      <c r="J1442" s="12" t="s">
        <v>389</v>
      </c>
      <c r="K1442" s="1" t="s">
        <v>1876</v>
      </c>
      <c r="L1442" s="12" t="s">
        <v>59</v>
      </c>
      <c r="M1442" s="1" t="s">
        <v>1719</v>
      </c>
      <c r="N1442" s="12" t="s">
        <v>2138</v>
      </c>
      <c r="O1442" s="1" t="s">
        <v>1553</v>
      </c>
      <c r="P1442" s="12" t="s">
        <v>69</v>
      </c>
      <c r="Q1442" s="1" t="s">
        <v>70</v>
      </c>
      <c r="R1442" s="12">
        <v>80</v>
      </c>
      <c r="S1442" s="12" t="s">
        <v>2213</v>
      </c>
      <c r="T1442" s="12" t="s">
        <v>2187</v>
      </c>
      <c r="U1442" s="12" t="s">
        <v>73</v>
      </c>
      <c r="V1442" s="1" t="s">
        <v>74</v>
      </c>
      <c r="W1442" s="1" t="s">
        <v>112</v>
      </c>
      <c r="X1442" s="12" t="s">
        <v>2137</v>
      </c>
      <c r="Y1442" s="12">
        <v>7.3920000000000001E-3</v>
      </c>
      <c r="Z1442" s="12">
        <v>1.43</v>
      </c>
      <c r="AA1442" s="12" t="s">
        <v>77</v>
      </c>
      <c r="AB1442" s="12" t="s">
        <v>114</v>
      </c>
      <c r="AC1442" s="226" t="e">
        <f>HYPERLINK(#REF!,"ССЫЛКА")</f>
        <v>#REF!</v>
      </c>
      <c r="AD1442" s="85" t="s">
        <v>2859</v>
      </c>
    </row>
    <row r="1443" spans="1:30" s="12" customFormat="1" ht="39.950000000000003" hidden="1" customHeight="1" outlineLevel="1" x14ac:dyDescent="0.25">
      <c r="A1443" s="5"/>
      <c r="B1443" s="23" t="s">
        <v>2236</v>
      </c>
      <c r="C1443" s="80" t="s">
        <v>2253</v>
      </c>
      <c r="D1443" s="12">
        <v>2280</v>
      </c>
      <c r="E1443" s="12">
        <v>24</v>
      </c>
      <c r="F1443" s="12">
        <v>95</v>
      </c>
      <c r="G1443" s="12" t="s">
        <v>2254</v>
      </c>
      <c r="H1443" s="12" t="s">
        <v>138</v>
      </c>
      <c r="I1443" s="12">
        <v>65</v>
      </c>
      <c r="J1443" s="12" t="s">
        <v>389</v>
      </c>
      <c r="K1443" s="1" t="s">
        <v>2149</v>
      </c>
      <c r="L1443" s="12" t="s">
        <v>59</v>
      </c>
      <c r="M1443" s="1" t="s">
        <v>1719</v>
      </c>
      <c r="N1443" s="12" t="s">
        <v>2138</v>
      </c>
      <c r="O1443" s="1" t="s">
        <v>1553</v>
      </c>
      <c r="P1443" s="12" t="s">
        <v>69</v>
      </c>
      <c r="Q1443" s="1" t="s">
        <v>70</v>
      </c>
      <c r="R1443" s="12">
        <v>80</v>
      </c>
      <c r="S1443" s="12" t="s">
        <v>2213</v>
      </c>
      <c r="T1443" s="12" t="s">
        <v>2187</v>
      </c>
      <c r="U1443" s="12" t="s">
        <v>73</v>
      </c>
      <c r="V1443" s="1" t="s">
        <v>74</v>
      </c>
      <c r="W1443" s="1" t="s">
        <v>112</v>
      </c>
      <c r="X1443" s="12" t="s">
        <v>2137</v>
      </c>
      <c r="Y1443" s="12">
        <v>1.1440000000000001E-2</v>
      </c>
      <c r="Z1443" s="12">
        <v>1.43</v>
      </c>
      <c r="AA1443" s="12" t="s">
        <v>77</v>
      </c>
      <c r="AB1443" s="12" t="s">
        <v>114</v>
      </c>
      <c r="AC1443" s="226" t="e">
        <f>HYPERLINK(#REF!,"ССЫЛКА")</f>
        <v>#REF!</v>
      </c>
      <c r="AD1443" s="85" t="s">
        <v>2859</v>
      </c>
    </row>
    <row r="1444" spans="1:30" s="12" customFormat="1" ht="39.950000000000003" hidden="1" customHeight="1" outlineLevel="1" x14ac:dyDescent="0.25">
      <c r="A1444" s="5"/>
      <c r="B1444" s="23" t="s">
        <v>2236</v>
      </c>
      <c r="C1444" s="80" t="s">
        <v>2255</v>
      </c>
      <c r="D1444" s="12">
        <v>2280</v>
      </c>
      <c r="E1444" s="12">
        <v>24</v>
      </c>
      <c r="F1444" s="12">
        <v>95</v>
      </c>
      <c r="G1444" s="12" t="s">
        <v>2256</v>
      </c>
      <c r="H1444" s="12" t="s">
        <v>138</v>
      </c>
      <c r="I1444" s="12">
        <v>65</v>
      </c>
      <c r="J1444" s="12" t="s">
        <v>389</v>
      </c>
      <c r="K1444" s="1" t="s">
        <v>2152</v>
      </c>
      <c r="L1444" s="12" t="s">
        <v>59</v>
      </c>
      <c r="M1444" s="1" t="s">
        <v>1719</v>
      </c>
      <c r="N1444" s="12" t="s">
        <v>2138</v>
      </c>
      <c r="O1444" s="1" t="s">
        <v>1553</v>
      </c>
      <c r="P1444" s="12" t="s">
        <v>69</v>
      </c>
      <c r="Q1444" s="1" t="s">
        <v>70</v>
      </c>
      <c r="R1444" s="12">
        <v>80</v>
      </c>
      <c r="S1444" s="12" t="s">
        <v>2213</v>
      </c>
      <c r="T1444" s="12" t="s">
        <v>2187</v>
      </c>
      <c r="U1444" s="12" t="s">
        <v>73</v>
      </c>
      <c r="V1444" s="1" t="s">
        <v>74</v>
      </c>
      <c r="W1444" s="1" t="s">
        <v>112</v>
      </c>
      <c r="X1444" s="12" t="s">
        <v>2137</v>
      </c>
      <c r="Y1444" s="12">
        <v>1.1440000000000001E-2</v>
      </c>
      <c r="Z1444" s="12">
        <v>1.43</v>
      </c>
      <c r="AA1444" s="12" t="s">
        <v>77</v>
      </c>
      <c r="AB1444" s="12" t="s">
        <v>114</v>
      </c>
      <c r="AC1444" s="226" t="e">
        <f>HYPERLINK(#REF!,"ССЫЛКА")</f>
        <v>#REF!</v>
      </c>
      <c r="AD1444" s="85" t="s">
        <v>2859</v>
      </c>
    </row>
    <row r="1445" spans="1:30" s="12" customFormat="1" ht="39.950000000000003" hidden="1" customHeight="1" outlineLevel="1" x14ac:dyDescent="0.25">
      <c r="A1445" s="5"/>
      <c r="B1445" s="23" t="s">
        <v>2236</v>
      </c>
      <c r="C1445" s="80" t="s">
        <v>2257</v>
      </c>
      <c r="D1445" s="12">
        <v>2280</v>
      </c>
      <c r="E1445" s="12">
        <v>24</v>
      </c>
      <c r="F1445" s="12">
        <v>95</v>
      </c>
      <c r="G1445" s="12" t="s">
        <v>2258</v>
      </c>
      <c r="H1445" s="12" t="s">
        <v>138</v>
      </c>
      <c r="I1445" s="12">
        <v>65</v>
      </c>
      <c r="J1445" s="12" t="s">
        <v>389</v>
      </c>
      <c r="K1445" s="1" t="s">
        <v>2155</v>
      </c>
      <c r="L1445" s="12" t="s">
        <v>59</v>
      </c>
      <c r="M1445" s="1" t="s">
        <v>1719</v>
      </c>
      <c r="N1445" s="12" t="s">
        <v>2138</v>
      </c>
      <c r="O1445" s="1" t="s">
        <v>1553</v>
      </c>
      <c r="P1445" s="12" t="s">
        <v>69</v>
      </c>
      <c r="Q1445" s="1" t="s">
        <v>70</v>
      </c>
      <c r="R1445" s="12">
        <v>80</v>
      </c>
      <c r="S1445" s="12" t="s">
        <v>2213</v>
      </c>
      <c r="T1445" s="12" t="s">
        <v>2187</v>
      </c>
      <c r="U1445" s="12" t="s">
        <v>73</v>
      </c>
      <c r="V1445" s="1" t="s">
        <v>74</v>
      </c>
      <c r="W1445" s="1" t="s">
        <v>112</v>
      </c>
      <c r="X1445" s="12" t="s">
        <v>2137</v>
      </c>
      <c r="Y1445" s="12">
        <v>5.3949999999999996E-3</v>
      </c>
      <c r="Z1445" s="12">
        <v>1.43</v>
      </c>
      <c r="AA1445" s="12" t="s">
        <v>77</v>
      </c>
      <c r="AB1445" s="12" t="s">
        <v>114</v>
      </c>
      <c r="AC1445" s="226" t="e">
        <f>HYPERLINK(#REF!,"ССЫЛКА")</f>
        <v>#REF!</v>
      </c>
      <c r="AD1445" s="85" t="s">
        <v>2859</v>
      </c>
    </row>
    <row r="1446" spans="1:30" s="12" customFormat="1" ht="39.950000000000003" hidden="1" customHeight="1" outlineLevel="1" x14ac:dyDescent="0.25">
      <c r="A1446" s="5"/>
      <c r="B1446" s="23" t="s">
        <v>2236</v>
      </c>
      <c r="C1446" s="80" t="s">
        <v>2259</v>
      </c>
      <c r="D1446" s="12">
        <v>2280</v>
      </c>
      <c r="E1446" s="12">
        <v>24</v>
      </c>
      <c r="F1446" s="12">
        <v>95</v>
      </c>
      <c r="G1446" s="12" t="s">
        <v>2260</v>
      </c>
      <c r="H1446" s="12" t="s">
        <v>138</v>
      </c>
      <c r="I1446" s="12">
        <v>65</v>
      </c>
      <c r="J1446" s="12" t="s">
        <v>389</v>
      </c>
      <c r="K1446" s="1" t="s">
        <v>2158</v>
      </c>
      <c r="L1446" s="12" t="s">
        <v>59</v>
      </c>
      <c r="M1446" s="1" t="s">
        <v>1719</v>
      </c>
      <c r="N1446" s="12" t="s">
        <v>2138</v>
      </c>
      <c r="O1446" s="1" t="s">
        <v>1553</v>
      </c>
      <c r="P1446" s="12" t="s">
        <v>69</v>
      </c>
      <c r="Q1446" s="1" t="s">
        <v>70</v>
      </c>
      <c r="R1446" s="12">
        <v>80</v>
      </c>
      <c r="S1446" s="12" t="s">
        <v>2213</v>
      </c>
      <c r="T1446" s="12" t="s">
        <v>2187</v>
      </c>
      <c r="U1446" s="12" t="s">
        <v>73</v>
      </c>
      <c r="V1446" s="1" t="s">
        <v>74</v>
      </c>
      <c r="W1446" s="1" t="s">
        <v>112</v>
      </c>
      <c r="X1446" s="12" t="s">
        <v>2137</v>
      </c>
      <c r="Y1446" s="12">
        <v>5.3949999999999996E-3</v>
      </c>
      <c r="Z1446" s="12">
        <v>1.43</v>
      </c>
      <c r="AA1446" s="12" t="s">
        <v>77</v>
      </c>
      <c r="AB1446" s="12" t="s">
        <v>114</v>
      </c>
      <c r="AC1446" s="226" t="e">
        <f>HYPERLINK(#REF!,"ССЫЛКА")</f>
        <v>#REF!</v>
      </c>
      <c r="AD1446" s="85" t="s">
        <v>2859</v>
      </c>
    </row>
    <row r="1447" spans="1:30" s="12" customFormat="1" ht="39.950000000000003" hidden="1" customHeight="1" outlineLevel="1" x14ac:dyDescent="0.25">
      <c r="A1447" s="5"/>
      <c r="B1447" s="23" t="s">
        <v>2236</v>
      </c>
      <c r="C1447" s="80" t="s">
        <v>2261</v>
      </c>
      <c r="D1447" s="12">
        <v>2880</v>
      </c>
      <c r="E1447" s="12">
        <v>32</v>
      </c>
      <c r="F1447" s="12">
        <v>90</v>
      </c>
      <c r="G1447" s="12" t="s">
        <v>2262</v>
      </c>
      <c r="H1447" s="12" t="s">
        <v>138</v>
      </c>
      <c r="I1447" s="12">
        <v>65</v>
      </c>
      <c r="J1447" s="12" t="s">
        <v>389</v>
      </c>
      <c r="K1447" s="1" t="s">
        <v>2142</v>
      </c>
      <c r="L1447" s="12" t="s">
        <v>59</v>
      </c>
      <c r="M1447" s="1" t="s">
        <v>1719</v>
      </c>
      <c r="N1447" s="12" t="s">
        <v>2138</v>
      </c>
      <c r="O1447" s="1" t="s">
        <v>1553</v>
      </c>
      <c r="P1447" s="12" t="s">
        <v>69</v>
      </c>
      <c r="Q1447" s="1" t="s">
        <v>70</v>
      </c>
      <c r="R1447" s="12">
        <v>80</v>
      </c>
      <c r="S1447" s="12" t="s">
        <v>2226</v>
      </c>
      <c r="T1447" s="12" t="s">
        <v>2187</v>
      </c>
      <c r="U1447" s="12" t="s">
        <v>73</v>
      </c>
      <c r="V1447" s="1" t="s">
        <v>74</v>
      </c>
      <c r="W1447" s="1" t="s">
        <v>112</v>
      </c>
      <c r="X1447" s="12" t="s">
        <v>2137</v>
      </c>
      <c r="Y1447" s="12">
        <v>7.3920000000000001E-3</v>
      </c>
      <c r="Z1447" s="12">
        <v>1.43</v>
      </c>
      <c r="AA1447" s="12" t="s">
        <v>77</v>
      </c>
      <c r="AB1447" s="12" t="s">
        <v>114</v>
      </c>
      <c r="AC1447" s="226" t="e">
        <f>HYPERLINK(#REF!,"ССЫЛКА")</f>
        <v>#REF!</v>
      </c>
      <c r="AD1447" s="85" t="s">
        <v>2859</v>
      </c>
    </row>
    <row r="1448" spans="1:30" s="12" customFormat="1" ht="39.950000000000003" hidden="1" customHeight="1" outlineLevel="1" x14ac:dyDescent="0.25">
      <c r="A1448" s="5"/>
      <c r="B1448" s="23" t="s">
        <v>2236</v>
      </c>
      <c r="C1448" s="80" t="s">
        <v>2263</v>
      </c>
      <c r="D1448" s="12">
        <v>2880</v>
      </c>
      <c r="E1448" s="12">
        <v>32</v>
      </c>
      <c r="F1448" s="12">
        <v>90</v>
      </c>
      <c r="G1448" s="12" t="s">
        <v>2264</v>
      </c>
      <c r="H1448" s="12" t="s">
        <v>138</v>
      </c>
      <c r="I1448" s="12">
        <v>65</v>
      </c>
      <c r="J1448" s="12" t="s">
        <v>389</v>
      </c>
      <c r="K1448" s="1" t="s">
        <v>1876</v>
      </c>
      <c r="L1448" s="12" t="s">
        <v>59</v>
      </c>
      <c r="M1448" s="1" t="s">
        <v>1719</v>
      </c>
      <c r="N1448" s="12" t="s">
        <v>2138</v>
      </c>
      <c r="O1448" s="1" t="s">
        <v>1553</v>
      </c>
      <c r="P1448" s="12" t="s">
        <v>69</v>
      </c>
      <c r="Q1448" s="1" t="s">
        <v>70</v>
      </c>
      <c r="R1448" s="12">
        <v>80</v>
      </c>
      <c r="S1448" s="12" t="s">
        <v>2226</v>
      </c>
      <c r="T1448" s="12" t="s">
        <v>2187</v>
      </c>
      <c r="U1448" s="12" t="s">
        <v>73</v>
      </c>
      <c r="V1448" s="1" t="s">
        <v>74</v>
      </c>
      <c r="W1448" s="1" t="s">
        <v>112</v>
      </c>
      <c r="X1448" s="12" t="s">
        <v>2137</v>
      </c>
      <c r="Y1448" s="12">
        <v>7.3920000000000001E-3</v>
      </c>
      <c r="Z1448" s="12">
        <v>1.43</v>
      </c>
      <c r="AA1448" s="12" t="s">
        <v>77</v>
      </c>
      <c r="AB1448" s="12" t="s">
        <v>114</v>
      </c>
      <c r="AC1448" s="226" t="e">
        <f>HYPERLINK(#REF!,"ССЫЛКА")</f>
        <v>#REF!</v>
      </c>
      <c r="AD1448" s="85" t="s">
        <v>2859</v>
      </c>
    </row>
    <row r="1449" spans="1:30" s="12" customFormat="1" ht="39.950000000000003" hidden="1" customHeight="1" outlineLevel="1" x14ac:dyDescent="0.25">
      <c r="A1449" s="5"/>
      <c r="B1449" s="23" t="s">
        <v>2236</v>
      </c>
      <c r="C1449" s="80" t="s">
        <v>2265</v>
      </c>
      <c r="D1449" s="12">
        <v>2880</v>
      </c>
      <c r="E1449" s="12">
        <v>32</v>
      </c>
      <c r="F1449" s="12">
        <v>90</v>
      </c>
      <c r="G1449" s="12" t="s">
        <v>2266</v>
      </c>
      <c r="H1449" s="12" t="s">
        <v>138</v>
      </c>
      <c r="I1449" s="12">
        <v>65</v>
      </c>
      <c r="J1449" s="12" t="s">
        <v>389</v>
      </c>
      <c r="K1449" s="1" t="s">
        <v>2149</v>
      </c>
      <c r="L1449" s="12" t="s">
        <v>59</v>
      </c>
      <c r="M1449" s="1" t="s">
        <v>1719</v>
      </c>
      <c r="N1449" s="12" t="s">
        <v>2138</v>
      </c>
      <c r="O1449" s="1" t="s">
        <v>1553</v>
      </c>
      <c r="P1449" s="12" t="s">
        <v>69</v>
      </c>
      <c r="Q1449" s="1" t="s">
        <v>70</v>
      </c>
      <c r="R1449" s="12">
        <v>80</v>
      </c>
      <c r="S1449" s="12" t="s">
        <v>2226</v>
      </c>
      <c r="T1449" s="12" t="s">
        <v>2187</v>
      </c>
      <c r="U1449" s="12" t="s">
        <v>73</v>
      </c>
      <c r="V1449" s="1" t="s">
        <v>74</v>
      </c>
      <c r="W1449" s="1" t="s">
        <v>112</v>
      </c>
      <c r="X1449" s="12" t="s">
        <v>2137</v>
      </c>
      <c r="Y1449" s="12">
        <v>1.1440000000000001E-2</v>
      </c>
      <c r="Z1449" s="12">
        <v>1.43</v>
      </c>
      <c r="AA1449" s="12" t="s">
        <v>77</v>
      </c>
      <c r="AB1449" s="12" t="s">
        <v>114</v>
      </c>
      <c r="AC1449" s="226" t="e">
        <f>HYPERLINK(#REF!,"ССЫЛКА")</f>
        <v>#REF!</v>
      </c>
      <c r="AD1449" s="85" t="s">
        <v>2859</v>
      </c>
    </row>
    <row r="1450" spans="1:30" s="12" customFormat="1" ht="39.950000000000003" hidden="1" customHeight="1" outlineLevel="1" x14ac:dyDescent="0.25">
      <c r="A1450" s="5"/>
      <c r="B1450" s="23" t="s">
        <v>2236</v>
      </c>
      <c r="C1450" s="80" t="s">
        <v>2267</v>
      </c>
      <c r="D1450" s="12">
        <v>2880</v>
      </c>
      <c r="E1450" s="12">
        <v>32</v>
      </c>
      <c r="F1450" s="12">
        <v>90</v>
      </c>
      <c r="G1450" s="12" t="s">
        <v>2268</v>
      </c>
      <c r="H1450" s="12" t="s">
        <v>138</v>
      </c>
      <c r="I1450" s="12">
        <v>65</v>
      </c>
      <c r="J1450" s="12" t="s">
        <v>389</v>
      </c>
      <c r="K1450" s="1" t="s">
        <v>2152</v>
      </c>
      <c r="L1450" s="12" t="s">
        <v>59</v>
      </c>
      <c r="M1450" s="1" t="s">
        <v>1719</v>
      </c>
      <c r="N1450" s="12" t="s">
        <v>2138</v>
      </c>
      <c r="O1450" s="1" t="s">
        <v>1553</v>
      </c>
      <c r="P1450" s="12" t="s">
        <v>69</v>
      </c>
      <c r="Q1450" s="1" t="s">
        <v>70</v>
      </c>
      <c r="R1450" s="12">
        <v>80</v>
      </c>
      <c r="S1450" s="12" t="s">
        <v>2226</v>
      </c>
      <c r="T1450" s="12" t="s">
        <v>2187</v>
      </c>
      <c r="U1450" s="12" t="s">
        <v>73</v>
      </c>
      <c r="V1450" s="1" t="s">
        <v>74</v>
      </c>
      <c r="W1450" s="1" t="s">
        <v>112</v>
      </c>
      <c r="X1450" s="12" t="s">
        <v>2137</v>
      </c>
      <c r="Y1450" s="12">
        <v>1.1440000000000001E-2</v>
      </c>
      <c r="Z1450" s="12">
        <v>1.43</v>
      </c>
      <c r="AA1450" s="12" t="s">
        <v>77</v>
      </c>
      <c r="AB1450" s="12" t="s">
        <v>114</v>
      </c>
      <c r="AC1450" s="226" t="e">
        <f>HYPERLINK(#REF!,"ССЫЛКА")</f>
        <v>#REF!</v>
      </c>
      <c r="AD1450" s="85" t="s">
        <v>2859</v>
      </c>
    </row>
    <row r="1451" spans="1:30" s="12" customFormat="1" ht="39.950000000000003" hidden="1" customHeight="1" outlineLevel="1" x14ac:dyDescent="0.25">
      <c r="A1451" s="5"/>
      <c r="B1451" s="23" t="s">
        <v>2236</v>
      </c>
      <c r="C1451" s="80" t="s">
        <v>2269</v>
      </c>
      <c r="D1451" s="12">
        <v>2880</v>
      </c>
      <c r="E1451" s="12">
        <v>32</v>
      </c>
      <c r="F1451" s="12">
        <v>90</v>
      </c>
      <c r="G1451" s="12" t="s">
        <v>2270</v>
      </c>
      <c r="H1451" s="12" t="s">
        <v>138</v>
      </c>
      <c r="I1451" s="12">
        <v>65</v>
      </c>
      <c r="J1451" s="12" t="s">
        <v>389</v>
      </c>
      <c r="K1451" s="1" t="s">
        <v>2155</v>
      </c>
      <c r="L1451" s="12" t="s">
        <v>59</v>
      </c>
      <c r="M1451" s="1" t="s">
        <v>1719</v>
      </c>
      <c r="N1451" s="12" t="s">
        <v>2138</v>
      </c>
      <c r="O1451" s="1" t="s">
        <v>1553</v>
      </c>
      <c r="P1451" s="12" t="s">
        <v>69</v>
      </c>
      <c r="Q1451" s="1" t="s">
        <v>70</v>
      </c>
      <c r="R1451" s="12">
        <v>80</v>
      </c>
      <c r="S1451" s="12" t="s">
        <v>2226</v>
      </c>
      <c r="T1451" s="12" t="s">
        <v>2187</v>
      </c>
      <c r="U1451" s="12" t="s">
        <v>73</v>
      </c>
      <c r="V1451" s="1" t="s">
        <v>74</v>
      </c>
      <c r="W1451" s="1" t="s">
        <v>112</v>
      </c>
      <c r="X1451" s="12" t="s">
        <v>2137</v>
      </c>
      <c r="Y1451" s="12">
        <v>5.3949999999999996E-3</v>
      </c>
      <c r="Z1451" s="12">
        <v>1.43</v>
      </c>
      <c r="AA1451" s="12" t="s">
        <v>77</v>
      </c>
      <c r="AB1451" s="12" t="s">
        <v>114</v>
      </c>
      <c r="AC1451" s="226" t="e">
        <f>HYPERLINK(#REF!,"ССЫЛКА")</f>
        <v>#REF!</v>
      </c>
      <c r="AD1451" s="85" t="s">
        <v>2859</v>
      </c>
    </row>
    <row r="1452" spans="1:30" s="12" customFormat="1" ht="39.950000000000003" hidden="1" customHeight="1" outlineLevel="1" x14ac:dyDescent="0.25">
      <c r="A1452" s="5"/>
      <c r="B1452" s="23" t="s">
        <v>2236</v>
      </c>
      <c r="C1452" s="80" t="s">
        <v>2271</v>
      </c>
      <c r="D1452" s="12">
        <v>2880</v>
      </c>
      <c r="E1452" s="12">
        <v>32</v>
      </c>
      <c r="F1452" s="12">
        <v>90</v>
      </c>
      <c r="G1452" s="12" t="s">
        <v>2272</v>
      </c>
      <c r="H1452" s="12" t="s">
        <v>138</v>
      </c>
      <c r="I1452" s="12">
        <v>65</v>
      </c>
      <c r="J1452" s="12" t="s">
        <v>389</v>
      </c>
      <c r="K1452" s="1" t="s">
        <v>2158</v>
      </c>
      <c r="L1452" s="12" t="s">
        <v>59</v>
      </c>
      <c r="M1452" s="1" t="s">
        <v>1719</v>
      </c>
      <c r="N1452" s="12" t="s">
        <v>2138</v>
      </c>
      <c r="O1452" s="1" t="s">
        <v>1553</v>
      </c>
      <c r="P1452" s="12" t="s">
        <v>69</v>
      </c>
      <c r="Q1452" s="1" t="s">
        <v>70</v>
      </c>
      <c r="R1452" s="12">
        <v>80</v>
      </c>
      <c r="S1452" s="12" t="s">
        <v>2226</v>
      </c>
      <c r="T1452" s="12" t="s">
        <v>2187</v>
      </c>
      <c r="U1452" s="12" t="s">
        <v>73</v>
      </c>
      <c r="V1452" s="1" t="s">
        <v>74</v>
      </c>
      <c r="W1452" s="1" t="s">
        <v>112</v>
      </c>
      <c r="X1452" s="12" t="s">
        <v>2137</v>
      </c>
      <c r="Y1452" s="12">
        <v>5.3949999999999996E-3</v>
      </c>
      <c r="Z1452" s="12">
        <v>1.43</v>
      </c>
      <c r="AA1452" s="12" t="s">
        <v>77</v>
      </c>
      <c r="AB1452" s="12" t="s">
        <v>114</v>
      </c>
      <c r="AC1452" s="226" t="e">
        <f>HYPERLINK(#REF!,"ССЫЛКА")</f>
        <v>#REF!</v>
      </c>
      <c r="AD1452" s="85" t="s">
        <v>2859</v>
      </c>
    </row>
    <row r="1453" spans="1:30" s="100" customFormat="1" ht="39.950000000000003" hidden="1" customHeight="1" outlineLevel="1" x14ac:dyDescent="0.25">
      <c r="A1453" s="6"/>
      <c r="B1453" s="113" t="s">
        <v>3075</v>
      </c>
      <c r="C1453" s="205" t="s">
        <v>3362</v>
      </c>
      <c r="D1453" s="100">
        <v>21900</v>
      </c>
      <c r="E1453" s="100">
        <v>150</v>
      </c>
      <c r="F1453" s="100">
        <v>146</v>
      </c>
      <c r="G1453" s="100" t="s">
        <v>3363</v>
      </c>
      <c r="H1453" s="100" t="s">
        <v>3078</v>
      </c>
      <c r="I1453" s="100">
        <v>67</v>
      </c>
      <c r="J1453" s="100" t="s">
        <v>105</v>
      </c>
      <c r="K1453" s="99" t="s">
        <v>65</v>
      </c>
      <c r="L1453" s="100" t="s">
        <v>3380</v>
      </c>
      <c r="M1453" s="99" t="s">
        <v>66</v>
      </c>
      <c r="N1453" s="100" t="s">
        <v>67</v>
      </c>
      <c r="O1453" s="99" t="s">
        <v>3082</v>
      </c>
      <c r="P1453" s="100" t="s">
        <v>109</v>
      </c>
      <c r="Q1453" s="99" t="s">
        <v>2288</v>
      </c>
      <c r="R1453" s="100">
        <v>70</v>
      </c>
      <c r="S1453" s="100" t="s">
        <v>236</v>
      </c>
      <c r="T1453" s="100" t="s">
        <v>390</v>
      </c>
      <c r="U1453" s="100" t="s">
        <v>73</v>
      </c>
      <c r="V1453" s="99" t="s">
        <v>3079</v>
      </c>
      <c r="W1453" s="99" t="s">
        <v>3080</v>
      </c>
      <c r="X1453" s="100" t="s">
        <v>3364</v>
      </c>
      <c r="Y1453" s="100">
        <v>0.02</v>
      </c>
      <c r="Z1453" s="100">
        <v>6.3</v>
      </c>
      <c r="AA1453" s="100" t="s">
        <v>77</v>
      </c>
      <c r="AB1453" s="100" t="s">
        <v>114</v>
      </c>
      <c r="AC1453" s="229" t="e">
        <f>HYPERLINK(#REF!,"ССЫЛКА")</f>
        <v>#REF!</v>
      </c>
      <c r="AD1453" s="108" t="s">
        <v>2859</v>
      </c>
    </row>
    <row r="1454" spans="1:30" s="12" customFormat="1" ht="39.950000000000003" hidden="1" customHeight="1" outlineLevel="1" x14ac:dyDescent="0.25">
      <c r="A1454" s="5"/>
      <c r="B1454" s="23" t="s">
        <v>135</v>
      </c>
      <c r="C1454" s="156" t="s">
        <v>3859</v>
      </c>
      <c r="D1454" s="12">
        <v>13120</v>
      </c>
      <c r="E1454" s="12">
        <v>80</v>
      </c>
      <c r="F1454" s="12">
        <v>164</v>
      </c>
      <c r="G1454" s="12" t="s">
        <v>3862</v>
      </c>
      <c r="H1454" s="12" t="s">
        <v>138</v>
      </c>
      <c r="I1454" s="12">
        <v>67</v>
      </c>
      <c r="J1454" s="12" t="s">
        <v>105</v>
      </c>
      <c r="K1454" s="1" t="s">
        <v>106</v>
      </c>
      <c r="L1454" s="12" t="s">
        <v>3380</v>
      </c>
      <c r="M1454" s="1" t="s">
        <v>157</v>
      </c>
      <c r="N1454" s="12" t="s">
        <v>67</v>
      </c>
      <c r="O1454" s="1" t="s">
        <v>139</v>
      </c>
      <c r="P1454" s="12" t="s">
        <v>109</v>
      </c>
      <c r="Q1454" s="1" t="s">
        <v>70</v>
      </c>
      <c r="R1454" s="12">
        <v>80</v>
      </c>
      <c r="S1454" s="12" t="s">
        <v>594</v>
      </c>
      <c r="T1454" s="12" t="s">
        <v>141</v>
      </c>
      <c r="U1454" s="12" t="s">
        <v>142</v>
      </c>
      <c r="V1454" s="1" t="s">
        <v>74</v>
      </c>
      <c r="W1454" s="1" t="s">
        <v>160</v>
      </c>
      <c r="X1454" s="12" t="s">
        <v>170</v>
      </c>
      <c r="Y1454" s="12">
        <v>0.01</v>
      </c>
      <c r="Z1454" s="12">
        <v>2.6</v>
      </c>
      <c r="AA1454" s="12" t="s">
        <v>3856</v>
      </c>
      <c r="AB1454" s="12" t="s">
        <v>114</v>
      </c>
      <c r="AC1454" s="226" t="e">
        <f>HYPERLINK(#REF!,"ССЫЛКА")</f>
        <v>#REF!</v>
      </c>
      <c r="AD1454" s="86" t="e">
        <f>ROUNDUP(1.7*#REF!,0)</f>
        <v>#REF!</v>
      </c>
    </row>
    <row r="1455" spans="1:30" s="100" customFormat="1" ht="39.950000000000003" hidden="1" customHeight="1" outlineLevel="1" x14ac:dyDescent="0.25">
      <c r="A1455" s="5"/>
      <c r="B1455" s="113" t="s">
        <v>135</v>
      </c>
      <c r="C1455" s="189" t="s">
        <v>3859</v>
      </c>
      <c r="D1455" s="100">
        <v>13120</v>
      </c>
      <c r="E1455" s="100">
        <v>80</v>
      </c>
      <c r="F1455" s="100">
        <v>164</v>
      </c>
      <c r="G1455" s="100" t="s">
        <v>3862</v>
      </c>
      <c r="H1455" s="100" t="s">
        <v>138</v>
      </c>
      <c r="I1455" s="100">
        <v>67</v>
      </c>
      <c r="J1455" s="100" t="s">
        <v>105</v>
      </c>
      <c r="K1455" s="99" t="s">
        <v>106</v>
      </c>
      <c r="L1455" s="100" t="s">
        <v>3380</v>
      </c>
      <c r="M1455" s="99" t="s">
        <v>157</v>
      </c>
      <c r="N1455" s="100" t="s">
        <v>67</v>
      </c>
      <c r="O1455" s="99" t="s">
        <v>139</v>
      </c>
      <c r="P1455" s="100" t="s">
        <v>109</v>
      </c>
      <c r="Q1455" s="99" t="s">
        <v>70</v>
      </c>
      <c r="R1455" s="100">
        <v>80</v>
      </c>
      <c r="S1455" s="100" t="s">
        <v>594</v>
      </c>
      <c r="T1455" s="100" t="s">
        <v>141</v>
      </c>
      <c r="U1455" s="100" t="s">
        <v>142</v>
      </c>
      <c r="V1455" s="99" t="s">
        <v>74</v>
      </c>
      <c r="W1455" s="99" t="s">
        <v>160</v>
      </c>
      <c r="X1455" s="100" t="s">
        <v>170</v>
      </c>
      <c r="Y1455" s="100">
        <v>0.01</v>
      </c>
      <c r="Z1455" s="100">
        <v>2.6</v>
      </c>
      <c r="AA1455" s="100" t="s">
        <v>3856</v>
      </c>
      <c r="AB1455" s="100" t="s">
        <v>114</v>
      </c>
      <c r="AC1455" s="229" t="e">
        <f>HYPERLINK(#REF!,"ССЫЛКА")</f>
        <v>#REF!</v>
      </c>
      <c r="AD1455" s="103" t="e">
        <f>ROUNDUP(1.7*#REF!,0)</f>
        <v>#REF!</v>
      </c>
    </row>
    <row r="1456" spans="1:30" s="12" customFormat="1" ht="39.950000000000003" hidden="1" customHeight="1" outlineLevel="1" x14ac:dyDescent="0.25">
      <c r="A1456" s="5"/>
      <c r="B1456" s="23" t="s">
        <v>1219</v>
      </c>
      <c r="C1456" s="206" t="s">
        <v>1220</v>
      </c>
      <c r="D1456" s="152">
        <v>29040</v>
      </c>
      <c r="E1456" s="152">
        <v>192</v>
      </c>
      <c r="F1456" s="152">
        <v>151</v>
      </c>
      <c r="G1456" s="152" t="s">
        <v>1221</v>
      </c>
      <c r="H1456" s="152" t="s">
        <v>138</v>
      </c>
      <c r="I1456" s="152">
        <v>67</v>
      </c>
      <c r="J1456" s="152" t="s">
        <v>105</v>
      </c>
      <c r="K1456" s="151" t="s">
        <v>106</v>
      </c>
      <c r="L1456" s="152" t="s">
        <v>3380</v>
      </c>
      <c r="M1456" s="151" t="s">
        <v>107</v>
      </c>
      <c r="N1456" s="152" t="s">
        <v>108</v>
      </c>
      <c r="O1456" s="151" t="s">
        <v>139</v>
      </c>
      <c r="P1456" s="152" t="s">
        <v>109</v>
      </c>
      <c r="Q1456" s="151" t="s">
        <v>70</v>
      </c>
      <c r="R1456" s="152">
        <v>80</v>
      </c>
      <c r="S1456" s="152" t="s">
        <v>1222</v>
      </c>
      <c r="T1456" s="152" t="s">
        <v>141</v>
      </c>
      <c r="U1456" s="152" t="s">
        <v>142</v>
      </c>
      <c r="V1456" s="151" t="s">
        <v>1223</v>
      </c>
      <c r="W1456" s="151" t="s">
        <v>2932</v>
      </c>
      <c r="X1456" s="152" t="s">
        <v>1224</v>
      </c>
      <c r="Y1456" s="152">
        <v>0.06</v>
      </c>
      <c r="Z1456" s="152">
        <v>9</v>
      </c>
      <c r="AA1456" s="152" t="s">
        <v>144</v>
      </c>
      <c r="AB1456" s="152" t="s">
        <v>114</v>
      </c>
      <c r="AC1456" s="231" t="e">
        <f>HYPERLINK(#REF!,"ССЫЛКА")</f>
        <v>#REF!</v>
      </c>
      <c r="AD1456" s="153" t="e">
        <f>ROUNDUP(1.7*#REF!,0)</f>
        <v>#REF!</v>
      </c>
    </row>
    <row r="1457" spans="1:30" s="12" customFormat="1" ht="39.950000000000003" hidden="1" customHeight="1" outlineLevel="1" x14ac:dyDescent="0.25">
      <c r="A1457" s="5"/>
      <c r="B1457" s="23" t="s">
        <v>1219</v>
      </c>
      <c r="C1457" s="80" t="s">
        <v>1225</v>
      </c>
      <c r="D1457" s="12">
        <v>45780</v>
      </c>
      <c r="E1457" s="12">
        <v>288</v>
      </c>
      <c r="F1457" s="12">
        <v>158</v>
      </c>
      <c r="G1457" s="12" t="s">
        <v>1226</v>
      </c>
      <c r="H1457" s="12" t="s">
        <v>138</v>
      </c>
      <c r="I1457" s="12">
        <v>67</v>
      </c>
      <c r="J1457" s="12" t="s">
        <v>105</v>
      </c>
      <c r="K1457" s="1" t="s">
        <v>106</v>
      </c>
      <c r="L1457" s="12" t="s">
        <v>3380</v>
      </c>
      <c r="M1457" s="1" t="s">
        <v>107</v>
      </c>
      <c r="N1457" s="12" t="s">
        <v>108</v>
      </c>
      <c r="O1457" s="1" t="s">
        <v>139</v>
      </c>
      <c r="P1457" s="12" t="s">
        <v>109</v>
      </c>
      <c r="Q1457" s="1" t="s">
        <v>70</v>
      </c>
      <c r="R1457" s="12">
        <v>80</v>
      </c>
      <c r="S1457" s="12" t="s">
        <v>1227</v>
      </c>
      <c r="T1457" s="12" t="s">
        <v>141</v>
      </c>
      <c r="U1457" s="12" t="s">
        <v>142</v>
      </c>
      <c r="V1457" s="1" t="s">
        <v>1223</v>
      </c>
      <c r="W1457" s="1" t="s">
        <v>2932</v>
      </c>
      <c r="X1457" s="12" t="s">
        <v>1228</v>
      </c>
      <c r="Y1457" s="12">
        <v>7.0000000000000007E-2</v>
      </c>
      <c r="Z1457" s="12">
        <v>10</v>
      </c>
      <c r="AA1457" s="12" t="s">
        <v>144</v>
      </c>
      <c r="AB1457" s="12" t="s">
        <v>114</v>
      </c>
      <c r="AC1457" s="226" t="e">
        <f>HYPERLINK(#REF!,"ССЫЛКА")</f>
        <v>#REF!</v>
      </c>
      <c r="AD1457" s="86" t="e">
        <f>ROUNDUP(1.7*#REF!,0)</f>
        <v>#REF!</v>
      </c>
    </row>
    <row r="1458" spans="1:30" s="12" customFormat="1" ht="39.950000000000003" hidden="1" customHeight="1" outlineLevel="1" x14ac:dyDescent="0.25">
      <c r="A1458" s="5"/>
      <c r="B1458" s="23" t="s">
        <v>1219</v>
      </c>
      <c r="C1458" s="80" t="s">
        <v>1229</v>
      </c>
      <c r="D1458" s="12">
        <v>58620</v>
      </c>
      <c r="E1458" s="12">
        <v>366</v>
      </c>
      <c r="F1458" s="12">
        <v>160</v>
      </c>
      <c r="G1458" s="12" t="s">
        <v>1230</v>
      </c>
      <c r="H1458" s="12" t="s">
        <v>138</v>
      </c>
      <c r="I1458" s="12">
        <v>67</v>
      </c>
      <c r="J1458" s="12" t="s">
        <v>105</v>
      </c>
      <c r="K1458" s="1" t="s">
        <v>106</v>
      </c>
      <c r="L1458" s="12" t="s">
        <v>3380</v>
      </c>
      <c r="M1458" s="1" t="s">
        <v>107</v>
      </c>
      <c r="N1458" s="12" t="s">
        <v>108</v>
      </c>
      <c r="O1458" s="1" t="s">
        <v>139</v>
      </c>
      <c r="P1458" s="12" t="s">
        <v>109</v>
      </c>
      <c r="Q1458" s="1" t="s">
        <v>70</v>
      </c>
      <c r="R1458" s="12">
        <v>80</v>
      </c>
      <c r="S1458" s="12" t="s">
        <v>1231</v>
      </c>
      <c r="T1458" s="12" t="s">
        <v>141</v>
      </c>
      <c r="U1458" s="12" t="s">
        <v>73</v>
      </c>
      <c r="V1458" s="1" t="s">
        <v>1223</v>
      </c>
      <c r="W1458" s="1" t="s">
        <v>2932</v>
      </c>
      <c r="X1458" s="12" t="s">
        <v>1232</v>
      </c>
      <c r="Y1458" s="12">
        <v>0.12</v>
      </c>
      <c r="Z1458" s="12">
        <v>11</v>
      </c>
      <c r="AA1458" s="12" t="s">
        <v>77</v>
      </c>
      <c r="AB1458" s="12" t="s">
        <v>114</v>
      </c>
      <c r="AC1458" s="226" t="e">
        <f>HYPERLINK(#REF!,"ССЫЛКА")</f>
        <v>#REF!</v>
      </c>
      <c r="AD1458" s="86" t="e">
        <f>ROUNDUP(1.7*#REF!,0)</f>
        <v>#REF!</v>
      </c>
    </row>
    <row r="1459" spans="1:30" s="12" customFormat="1" ht="39.950000000000003" hidden="1" customHeight="1" outlineLevel="1" x14ac:dyDescent="0.25">
      <c r="A1459" s="5"/>
      <c r="B1459" s="23" t="s">
        <v>1219</v>
      </c>
      <c r="C1459" s="80" t="s">
        <v>1233</v>
      </c>
      <c r="D1459" s="12">
        <v>24840</v>
      </c>
      <c r="E1459" s="12">
        <v>162</v>
      </c>
      <c r="F1459" s="12">
        <v>153</v>
      </c>
      <c r="G1459" s="12" t="s">
        <v>1234</v>
      </c>
      <c r="H1459" s="12" t="s">
        <v>177</v>
      </c>
      <c r="I1459" s="12">
        <v>67</v>
      </c>
      <c r="J1459" s="12" t="s">
        <v>105</v>
      </c>
      <c r="K1459" s="1" t="s">
        <v>106</v>
      </c>
      <c r="L1459" s="12" t="s">
        <v>3380</v>
      </c>
      <c r="M1459" s="1" t="s">
        <v>107</v>
      </c>
      <c r="N1459" s="12" t="s">
        <v>108</v>
      </c>
      <c r="O1459" s="1" t="s">
        <v>68</v>
      </c>
      <c r="P1459" s="12" t="s">
        <v>109</v>
      </c>
      <c r="Q1459" s="1" t="s">
        <v>70</v>
      </c>
      <c r="R1459" s="12">
        <v>70</v>
      </c>
      <c r="S1459" s="12" t="s">
        <v>1235</v>
      </c>
      <c r="T1459" s="12" t="s">
        <v>1139</v>
      </c>
      <c r="U1459" s="12" t="s">
        <v>142</v>
      </c>
      <c r="V1459" s="1" t="s">
        <v>1223</v>
      </c>
      <c r="W1459" s="1" t="s">
        <v>2932</v>
      </c>
      <c r="X1459" s="12" t="s">
        <v>1236</v>
      </c>
      <c r="Y1459" s="12">
        <v>0.06</v>
      </c>
      <c r="Z1459" s="12">
        <v>9</v>
      </c>
      <c r="AA1459" s="12" t="s">
        <v>144</v>
      </c>
      <c r="AB1459" s="12" t="s">
        <v>114</v>
      </c>
      <c r="AC1459" s="226" t="e">
        <f>HYPERLINK(#REF!,"ССЫЛКА")</f>
        <v>#REF!</v>
      </c>
      <c r="AD1459" s="86" t="e">
        <f>ROUNDUP(1.7*#REF!,0)</f>
        <v>#REF!</v>
      </c>
    </row>
    <row r="1460" spans="1:30" s="12" customFormat="1" ht="39.950000000000003" hidden="1" customHeight="1" outlineLevel="1" x14ac:dyDescent="0.25">
      <c r="A1460" s="5"/>
      <c r="B1460" s="23" t="s">
        <v>1219</v>
      </c>
      <c r="C1460" s="80" t="s">
        <v>1237</v>
      </c>
      <c r="D1460" s="12">
        <v>24840</v>
      </c>
      <c r="E1460" s="12">
        <v>162</v>
      </c>
      <c r="F1460" s="12">
        <v>153</v>
      </c>
      <c r="G1460" s="12" t="s">
        <v>1238</v>
      </c>
      <c r="H1460" s="12" t="s">
        <v>180</v>
      </c>
      <c r="I1460" s="12">
        <v>67</v>
      </c>
      <c r="J1460" s="12" t="s">
        <v>105</v>
      </c>
      <c r="K1460" s="1" t="s">
        <v>106</v>
      </c>
      <c r="L1460" s="12" t="s">
        <v>3380</v>
      </c>
      <c r="M1460" s="1" t="s">
        <v>107</v>
      </c>
      <c r="N1460" s="12" t="s">
        <v>108</v>
      </c>
      <c r="O1460" s="1" t="s">
        <v>68</v>
      </c>
      <c r="P1460" s="12" t="s">
        <v>109</v>
      </c>
      <c r="Q1460" s="1" t="s">
        <v>70</v>
      </c>
      <c r="R1460" s="12">
        <v>70</v>
      </c>
      <c r="S1460" s="12" t="s">
        <v>1235</v>
      </c>
      <c r="T1460" s="12" t="s">
        <v>1139</v>
      </c>
      <c r="U1460" s="12" t="s">
        <v>142</v>
      </c>
      <c r="V1460" s="1" t="s">
        <v>1223</v>
      </c>
      <c r="W1460" s="1" t="s">
        <v>2932</v>
      </c>
      <c r="X1460" s="12" t="s">
        <v>1236</v>
      </c>
      <c r="Y1460" s="12">
        <v>0.06</v>
      </c>
      <c r="Z1460" s="12">
        <v>9</v>
      </c>
      <c r="AA1460" s="12" t="s">
        <v>144</v>
      </c>
      <c r="AB1460" s="12" t="s">
        <v>114</v>
      </c>
      <c r="AC1460" s="226" t="e">
        <f>HYPERLINK(#REF!,"ССЫЛКА")</f>
        <v>#REF!</v>
      </c>
      <c r="AD1460" s="86" t="e">
        <f>ROUNDUP(1.7*#REF!,0)</f>
        <v>#REF!</v>
      </c>
    </row>
    <row r="1461" spans="1:30" s="12" customFormat="1" ht="39.950000000000003" hidden="1" customHeight="1" outlineLevel="1" x14ac:dyDescent="0.25">
      <c r="A1461" s="5"/>
      <c r="B1461" s="23" t="s">
        <v>1219</v>
      </c>
      <c r="C1461" s="80" t="s">
        <v>1239</v>
      </c>
      <c r="D1461" s="12">
        <v>24840</v>
      </c>
      <c r="E1461" s="12">
        <v>162</v>
      </c>
      <c r="F1461" s="12">
        <v>153</v>
      </c>
      <c r="G1461" s="12" t="s">
        <v>1240</v>
      </c>
      <c r="H1461" s="12" t="s">
        <v>183</v>
      </c>
      <c r="I1461" s="12">
        <v>67</v>
      </c>
      <c r="J1461" s="12" t="s">
        <v>105</v>
      </c>
      <c r="K1461" s="1" t="s">
        <v>106</v>
      </c>
      <c r="L1461" s="12" t="s">
        <v>3380</v>
      </c>
      <c r="M1461" s="1" t="s">
        <v>107</v>
      </c>
      <c r="N1461" s="12" t="s">
        <v>108</v>
      </c>
      <c r="O1461" s="1" t="s">
        <v>68</v>
      </c>
      <c r="P1461" s="12" t="s">
        <v>109</v>
      </c>
      <c r="Q1461" s="1" t="s">
        <v>70</v>
      </c>
      <c r="R1461" s="12">
        <v>70</v>
      </c>
      <c r="S1461" s="12" t="s">
        <v>1235</v>
      </c>
      <c r="T1461" s="12" t="s">
        <v>1139</v>
      </c>
      <c r="U1461" s="12" t="s">
        <v>142</v>
      </c>
      <c r="V1461" s="1" t="s">
        <v>1223</v>
      </c>
      <c r="W1461" s="1" t="s">
        <v>2932</v>
      </c>
      <c r="X1461" s="12" t="s">
        <v>1236</v>
      </c>
      <c r="Y1461" s="12">
        <v>0.06</v>
      </c>
      <c r="Z1461" s="12">
        <v>9</v>
      </c>
      <c r="AA1461" s="12" t="s">
        <v>144</v>
      </c>
      <c r="AB1461" s="12" t="s">
        <v>114</v>
      </c>
      <c r="AC1461" s="226" t="e">
        <f>HYPERLINK(#REF!,"ССЫЛКА")</f>
        <v>#REF!</v>
      </c>
      <c r="AD1461" s="86" t="e">
        <f>ROUNDUP(1.7*#REF!,0)</f>
        <v>#REF!</v>
      </c>
    </row>
    <row r="1462" spans="1:30" s="12" customFormat="1" ht="39.950000000000003" hidden="1" customHeight="1" outlineLevel="1" x14ac:dyDescent="0.25">
      <c r="A1462" s="5"/>
      <c r="B1462" s="23" t="s">
        <v>1219</v>
      </c>
      <c r="C1462" s="80" t="s">
        <v>1241</v>
      </c>
      <c r="D1462" s="12">
        <v>50520</v>
      </c>
      <c r="E1462" s="12">
        <v>318</v>
      </c>
      <c r="F1462" s="12">
        <v>158</v>
      </c>
      <c r="G1462" s="12" t="s">
        <v>1242</v>
      </c>
      <c r="H1462" s="12" t="s">
        <v>177</v>
      </c>
      <c r="I1462" s="12">
        <v>67</v>
      </c>
      <c r="J1462" s="12" t="s">
        <v>105</v>
      </c>
      <c r="K1462" s="1" t="s">
        <v>106</v>
      </c>
      <c r="L1462" s="12" t="s">
        <v>3380</v>
      </c>
      <c r="M1462" s="1" t="s">
        <v>107</v>
      </c>
      <c r="N1462" s="12" t="s">
        <v>108</v>
      </c>
      <c r="O1462" s="1" t="s">
        <v>68</v>
      </c>
      <c r="P1462" s="12" t="s">
        <v>109</v>
      </c>
      <c r="Q1462" s="1" t="s">
        <v>70</v>
      </c>
      <c r="R1462" s="12">
        <v>70</v>
      </c>
      <c r="S1462" s="12" t="s">
        <v>1243</v>
      </c>
      <c r="T1462" s="12" t="s">
        <v>1139</v>
      </c>
      <c r="U1462" s="12" t="s">
        <v>142</v>
      </c>
      <c r="V1462" s="1" t="s">
        <v>1223</v>
      </c>
      <c r="W1462" s="1" t="s">
        <v>2932</v>
      </c>
      <c r="X1462" s="12" t="s">
        <v>1244</v>
      </c>
      <c r="Y1462" s="12">
        <v>0.14000000000000001</v>
      </c>
      <c r="Z1462" s="12">
        <v>11</v>
      </c>
      <c r="AA1462" s="12" t="s">
        <v>144</v>
      </c>
      <c r="AB1462" s="12" t="s">
        <v>114</v>
      </c>
      <c r="AC1462" s="226" t="e">
        <f>HYPERLINK(#REF!,"ССЫЛКА")</f>
        <v>#REF!</v>
      </c>
      <c r="AD1462" s="86" t="e">
        <f>ROUNDUP(1.7*#REF!,0)</f>
        <v>#REF!</v>
      </c>
    </row>
    <row r="1463" spans="1:30" s="12" customFormat="1" ht="39.950000000000003" hidden="1" customHeight="1" outlineLevel="1" x14ac:dyDescent="0.25">
      <c r="A1463" s="5"/>
      <c r="B1463" s="23" t="s">
        <v>1219</v>
      </c>
      <c r="C1463" s="80" t="s">
        <v>1245</v>
      </c>
      <c r="D1463" s="12">
        <v>50520</v>
      </c>
      <c r="E1463" s="12">
        <v>318</v>
      </c>
      <c r="F1463" s="12">
        <v>158</v>
      </c>
      <c r="G1463" s="12" t="s">
        <v>1246</v>
      </c>
      <c r="H1463" s="12" t="s">
        <v>180</v>
      </c>
      <c r="I1463" s="12">
        <v>67</v>
      </c>
      <c r="J1463" s="12" t="s">
        <v>105</v>
      </c>
      <c r="K1463" s="1" t="s">
        <v>106</v>
      </c>
      <c r="L1463" s="12" t="s">
        <v>3380</v>
      </c>
      <c r="M1463" s="1" t="s">
        <v>107</v>
      </c>
      <c r="N1463" s="12" t="s">
        <v>108</v>
      </c>
      <c r="O1463" s="1" t="s">
        <v>68</v>
      </c>
      <c r="P1463" s="12" t="s">
        <v>109</v>
      </c>
      <c r="Q1463" s="1" t="s">
        <v>70</v>
      </c>
      <c r="R1463" s="12">
        <v>70</v>
      </c>
      <c r="S1463" s="12" t="s">
        <v>1243</v>
      </c>
      <c r="T1463" s="12" t="s">
        <v>1139</v>
      </c>
      <c r="U1463" s="12" t="s">
        <v>142</v>
      </c>
      <c r="V1463" s="1" t="s">
        <v>1223</v>
      </c>
      <c r="W1463" s="1" t="s">
        <v>2932</v>
      </c>
      <c r="X1463" s="12" t="s">
        <v>1244</v>
      </c>
      <c r="Y1463" s="12">
        <v>0.14000000000000001</v>
      </c>
      <c r="Z1463" s="12">
        <v>11</v>
      </c>
      <c r="AA1463" s="12" t="s">
        <v>144</v>
      </c>
      <c r="AB1463" s="12" t="s">
        <v>114</v>
      </c>
      <c r="AC1463" s="226" t="e">
        <f>HYPERLINK(#REF!,"ССЫЛКА")</f>
        <v>#REF!</v>
      </c>
      <c r="AD1463" s="86" t="e">
        <f>ROUNDUP(1.7*#REF!,0)</f>
        <v>#REF!</v>
      </c>
    </row>
    <row r="1464" spans="1:30" s="12" customFormat="1" ht="39.950000000000003" hidden="1" customHeight="1" outlineLevel="1" x14ac:dyDescent="0.25">
      <c r="A1464" s="5"/>
      <c r="B1464" s="23" t="s">
        <v>1219</v>
      </c>
      <c r="C1464" s="80" t="s">
        <v>1247</v>
      </c>
      <c r="D1464" s="12">
        <v>50520</v>
      </c>
      <c r="E1464" s="12">
        <v>318</v>
      </c>
      <c r="F1464" s="12">
        <v>158</v>
      </c>
      <c r="G1464" s="12" t="s">
        <v>1248</v>
      </c>
      <c r="H1464" s="12" t="s">
        <v>183</v>
      </c>
      <c r="I1464" s="12">
        <v>67</v>
      </c>
      <c r="J1464" s="12" t="s">
        <v>105</v>
      </c>
      <c r="K1464" s="1" t="s">
        <v>106</v>
      </c>
      <c r="L1464" s="12" t="s">
        <v>3380</v>
      </c>
      <c r="M1464" s="1" t="s">
        <v>107</v>
      </c>
      <c r="N1464" s="12" t="s">
        <v>108</v>
      </c>
      <c r="O1464" s="1" t="s">
        <v>68</v>
      </c>
      <c r="P1464" s="12" t="s">
        <v>109</v>
      </c>
      <c r="Q1464" s="1" t="s">
        <v>70</v>
      </c>
      <c r="R1464" s="12">
        <v>70</v>
      </c>
      <c r="S1464" s="12" t="s">
        <v>1243</v>
      </c>
      <c r="T1464" s="12" t="s">
        <v>1139</v>
      </c>
      <c r="U1464" s="12" t="s">
        <v>142</v>
      </c>
      <c r="V1464" s="1" t="s">
        <v>1223</v>
      </c>
      <c r="W1464" s="1" t="s">
        <v>2932</v>
      </c>
      <c r="X1464" s="12" t="s">
        <v>1244</v>
      </c>
      <c r="Y1464" s="12">
        <v>0.14000000000000001</v>
      </c>
      <c r="Z1464" s="12">
        <v>11</v>
      </c>
      <c r="AA1464" s="12" t="s">
        <v>144</v>
      </c>
      <c r="AB1464" s="12" t="s">
        <v>114</v>
      </c>
      <c r="AC1464" s="226" t="e">
        <f>HYPERLINK(#REF!,"ССЫЛКА")</f>
        <v>#REF!</v>
      </c>
      <c r="AD1464" s="86" t="e">
        <f>ROUNDUP(1.7*#REF!,0)</f>
        <v>#REF!</v>
      </c>
    </row>
    <row r="1465" spans="1:30" s="12" customFormat="1" ht="39.950000000000003" hidden="1" customHeight="1" outlineLevel="1" x14ac:dyDescent="0.25">
      <c r="A1465" s="5"/>
      <c r="B1465" s="23" t="s">
        <v>1219</v>
      </c>
      <c r="C1465" s="80" t="s">
        <v>1249</v>
      </c>
      <c r="D1465" s="12">
        <v>19360</v>
      </c>
      <c r="E1465" s="12">
        <v>128</v>
      </c>
      <c r="F1465" s="12">
        <v>151</v>
      </c>
      <c r="G1465" s="12" t="s">
        <v>1250</v>
      </c>
      <c r="H1465" s="12" t="s">
        <v>138</v>
      </c>
      <c r="I1465" s="12">
        <v>67</v>
      </c>
      <c r="J1465" s="12" t="s">
        <v>105</v>
      </c>
      <c r="K1465" s="1" t="s">
        <v>106</v>
      </c>
      <c r="L1465" s="12" t="s">
        <v>3380</v>
      </c>
      <c r="M1465" s="1" t="s">
        <v>107</v>
      </c>
      <c r="N1465" s="12" t="s">
        <v>108</v>
      </c>
      <c r="O1465" s="1" t="s">
        <v>139</v>
      </c>
      <c r="P1465" s="12" t="s">
        <v>109</v>
      </c>
      <c r="Q1465" s="1" t="s">
        <v>70</v>
      </c>
      <c r="R1465" s="12">
        <v>80</v>
      </c>
      <c r="S1465" s="12" t="s">
        <v>1251</v>
      </c>
      <c r="T1465" s="12" t="s">
        <v>141</v>
      </c>
      <c r="U1465" s="12" t="s">
        <v>142</v>
      </c>
      <c r="V1465" s="1" t="s">
        <v>1223</v>
      </c>
      <c r="W1465" s="1" t="s">
        <v>2932</v>
      </c>
      <c r="X1465" s="12" t="s">
        <v>1224</v>
      </c>
      <c r="Y1465" s="12">
        <v>0.06</v>
      </c>
      <c r="Z1465" s="12">
        <v>6.5</v>
      </c>
      <c r="AA1465" s="12" t="s">
        <v>144</v>
      </c>
      <c r="AB1465" s="12" t="s">
        <v>114</v>
      </c>
      <c r="AC1465" s="226" t="e">
        <f>HYPERLINK(#REF!,"ССЫЛКА")</f>
        <v>#REF!</v>
      </c>
      <c r="AD1465" s="86" t="e">
        <f>ROUNDUP(1.7*#REF!,0)</f>
        <v>#REF!</v>
      </c>
    </row>
    <row r="1466" spans="1:30" s="12" customFormat="1" ht="39.950000000000003" hidden="1" customHeight="1" outlineLevel="1" x14ac:dyDescent="0.25">
      <c r="A1466" s="5"/>
      <c r="B1466" s="23" t="s">
        <v>1219</v>
      </c>
      <c r="C1466" s="80" t="s">
        <v>1252</v>
      </c>
      <c r="D1466" s="12">
        <v>30520</v>
      </c>
      <c r="E1466" s="12">
        <v>192</v>
      </c>
      <c r="F1466" s="12">
        <v>158</v>
      </c>
      <c r="G1466" s="12" t="s">
        <v>1253</v>
      </c>
      <c r="H1466" s="12" t="s">
        <v>138</v>
      </c>
      <c r="I1466" s="12">
        <v>67</v>
      </c>
      <c r="J1466" s="12" t="s">
        <v>105</v>
      </c>
      <c r="K1466" s="1" t="s">
        <v>106</v>
      </c>
      <c r="L1466" s="12" t="s">
        <v>3380</v>
      </c>
      <c r="M1466" s="1" t="s">
        <v>107</v>
      </c>
      <c r="N1466" s="12" t="s">
        <v>108</v>
      </c>
      <c r="O1466" s="1" t="s">
        <v>139</v>
      </c>
      <c r="P1466" s="12" t="s">
        <v>109</v>
      </c>
      <c r="Q1466" s="1" t="s">
        <v>70</v>
      </c>
      <c r="R1466" s="12">
        <v>80</v>
      </c>
      <c r="S1466" s="12" t="s">
        <v>1254</v>
      </c>
      <c r="T1466" s="12" t="s">
        <v>141</v>
      </c>
      <c r="U1466" s="12" t="s">
        <v>142</v>
      </c>
      <c r="V1466" s="1" t="s">
        <v>1223</v>
      </c>
      <c r="W1466" s="1" t="s">
        <v>2932</v>
      </c>
      <c r="X1466" s="12" t="s">
        <v>1228</v>
      </c>
      <c r="Y1466" s="12">
        <v>7.0000000000000007E-2</v>
      </c>
      <c r="Z1466" s="12">
        <v>7</v>
      </c>
      <c r="AA1466" s="12" t="s">
        <v>144</v>
      </c>
      <c r="AB1466" s="12" t="s">
        <v>114</v>
      </c>
      <c r="AC1466" s="226" t="e">
        <f>HYPERLINK(#REF!,"ССЫЛКА")</f>
        <v>#REF!</v>
      </c>
      <c r="AD1466" s="86" t="e">
        <f>ROUNDUP(1.7*#REF!,0)</f>
        <v>#REF!</v>
      </c>
    </row>
    <row r="1467" spans="1:30" s="12" customFormat="1" ht="39.950000000000003" hidden="1" customHeight="1" outlineLevel="1" x14ac:dyDescent="0.25">
      <c r="A1467" s="5"/>
      <c r="B1467" s="23" t="s">
        <v>1219</v>
      </c>
      <c r="C1467" s="80" t="s">
        <v>1255</v>
      </c>
      <c r="D1467" s="12">
        <v>39080</v>
      </c>
      <c r="E1467" s="12">
        <v>244</v>
      </c>
      <c r="F1467" s="12">
        <v>160</v>
      </c>
      <c r="G1467" s="12" t="s">
        <v>1256</v>
      </c>
      <c r="H1467" s="12" t="s">
        <v>138</v>
      </c>
      <c r="I1467" s="12">
        <v>67</v>
      </c>
      <c r="J1467" s="12" t="s">
        <v>105</v>
      </c>
      <c r="K1467" s="1" t="s">
        <v>106</v>
      </c>
      <c r="L1467" s="12" t="s">
        <v>3380</v>
      </c>
      <c r="M1467" s="1" t="s">
        <v>107</v>
      </c>
      <c r="N1467" s="12" t="s">
        <v>108</v>
      </c>
      <c r="O1467" s="1" t="s">
        <v>139</v>
      </c>
      <c r="P1467" s="12" t="s">
        <v>109</v>
      </c>
      <c r="Q1467" s="1" t="s">
        <v>70</v>
      </c>
      <c r="R1467" s="12">
        <v>80</v>
      </c>
      <c r="S1467" s="12" t="s">
        <v>265</v>
      </c>
      <c r="T1467" s="12" t="s">
        <v>141</v>
      </c>
      <c r="U1467" s="12" t="s">
        <v>73</v>
      </c>
      <c r="V1467" s="1" t="s">
        <v>1223</v>
      </c>
      <c r="W1467" s="1" t="s">
        <v>2932</v>
      </c>
      <c r="X1467" s="12" t="s">
        <v>1232</v>
      </c>
      <c r="Y1467" s="12">
        <v>0.12</v>
      </c>
      <c r="Z1467" s="12">
        <v>7.5</v>
      </c>
      <c r="AA1467" s="12" t="s">
        <v>77</v>
      </c>
      <c r="AB1467" s="12" t="s">
        <v>114</v>
      </c>
      <c r="AC1467" s="226" t="e">
        <f>HYPERLINK(#REF!,"ССЫЛКА")</f>
        <v>#REF!</v>
      </c>
      <c r="AD1467" s="86" t="e">
        <f>ROUNDUP(1.7*#REF!,0)</f>
        <v>#REF!</v>
      </c>
    </row>
    <row r="1468" spans="1:30" s="12" customFormat="1" ht="39.950000000000003" hidden="1" customHeight="1" outlineLevel="1" x14ac:dyDescent="0.25">
      <c r="A1468" s="5"/>
      <c r="B1468" s="23" t="s">
        <v>1219</v>
      </c>
      <c r="C1468" s="80" t="s">
        <v>1257</v>
      </c>
      <c r="D1468" s="12">
        <v>14520</v>
      </c>
      <c r="E1468" s="12">
        <v>96</v>
      </c>
      <c r="F1468" s="12">
        <v>151</v>
      </c>
      <c r="G1468" s="12" t="s">
        <v>1258</v>
      </c>
      <c r="H1468" s="12" t="s">
        <v>138</v>
      </c>
      <c r="I1468" s="12">
        <v>67</v>
      </c>
      <c r="J1468" s="12" t="s">
        <v>105</v>
      </c>
      <c r="K1468" s="1" t="s">
        <v>106</v>
      </c>
      <c r="L1468" s="12" t="s">
        <v>3380</v>
      </c>
      <c r="M1468" s="1" t="s">
        <v>107</v>
      </c>
      <c r="N1468" s="12" t="s">
        <v>108</v>
      </c>
      <c r="O1468" s="1" t="s">
        <v>139</v>
      </c>
      <c r="P1468" s="12" t="s">
        <v>109</v>
      </c>
      <c r="Q1468" s="1" t="s">
        <v>70</v>
      </c>
      <c r="R1468" s="12">
        <v>80</v>
      </c>
      <c r="S1468" s="12" t="s">
        <v>1259</v>
      </c>
      <c r="T1468" s="12" t="s">
        <v>141</v>
      </c>
      <c r="U1468" s="12" t="s">
        <v>142</v>
      </c>
      <c r="V1468" s="1" t="s">
        <v>1223</v>
      </c>
      <c r="W1468" s="1" t="s">
        <v>2932</v>
      </c>
      <c r="X1468" s="12" t="s">
        <v>1224</v>
      </c>
      <c r="Y1468" s="12">
        <v>0.06</v>
      </c>
      <c r="Z1468" s="12">
        <v>5</v>
      </c>
      <c r="AA1468" s="12" t="s">
        <v>144</v>
      </c>
      <c r="AB1468" s="12" t="s">
        <v>114</v>
      </c>
      <c r="AC1468" s="226" t="e">
        <f>HYPERLINK(#REF!,"ССЫЛКА")</f>
        <v>#REF!</v>
      </c>
      <c r="AD1468" s="86" t="e">
        <f>ROUNDUP(1.7*#REF!,0)</f>
        <v>#REF!</v>
      </c>
    </row>
    <row r="1469" spans="1:30" s="12" customFormat="1" ht="39.950000000000003" hidden="1" customHeight="1" outlineLevel="1" x14ac:dyDescent="0.25">
      <c r="A1469" s="5"/>
      <c r="B1469" s="23" t="s">
        <v>1219</v>
      </c>
      <c r="C1469" s="80" t="s">
        <v>1260</v>
      </c>
      <c r="D1469" s="12">
        <v>22890</v>
      </c>
      <c r="E1469" s="12">
        <v>144</v>
      </c>
      <c r="F1469" s="12">
        <v>158</v>
      </c>
      <c r="G1469" s="12" t="s">
        <v>1261</v>
      </c>
      <c r="H1469" s="12" t="s">
        <v>138</v>
      </c>
      <c r="I1469" s="12">
        <v>67</v>
      </c>
      <c r="J1469" s="12" t="s">
        <v>105</v>
      </c>
      <c r="K1469" s="1" t="s">
        <v>106</v>
      </c>
      <c r="L1469" s="12" t="s">
        <v>3380</v>
      </c>
      <c r="M1469" s="1" t="s">
        <v>107</v>
      </c>
      <c r="N1469" s="12" t="s">
        <v>108</v>
      </c>
      <c r="O1469" s="1" t="s">
        <v>139</v>
      </c>
      <c r="P1469" s="12" t="s">
        <v>109</v>
      </c>
      <c r="Q1469" s="1" t="s">
        <v>70</v>
      </c>
      <c r="R1469" s="12">
        <v>80</v>
      </c>
      <c r="S1469" s="12" t="s">
        <v>1262</v>
      </c>
      <c r="T1469" s="12" t="s">
        <v>141</v>
      </c>
      <c r="U1469" s="12" t="s">
        <v>142</v>
      </c>
      <c r="V1469" s="1" t="s">
        <v>1223</v>
      </c>
      <c r="W1469" s="1" t="s">
        <v>2932</v>
      </c>
      <c r="X1469" s="12" t="s">
        <v>1228</v>
      </c>
      <c r="Y1469" s="12">
        <v>7.0000000000000007E-2</v>
      </c>
      <c r="Z1469" s="12">
        <v>5.5</v>
      </c>
      <c r="AA1469" s="12" t="s">
        <v>144</v>
      </c>
      <c r="AB1469" s="12" t="s">
        <v>114</v>
      </c>
      <c r="AC1469" s="226" t="e">
        <f>HYPERLINK(#REF!,"ССЫЛКА")</f>
        <v>#REF!</v>
      </c>
      <c r="AD1469" s="86" t="e">
        <f>ROUNDUP(1.7*#REF!,0)</f>
        <v>#REF!</v>
      </c>
    </row>
    <row r="1470" spans="1:30" s="12" customFormat="1" ht="39.950000000000003" hidden="1" customHeight="1" outlineLevel="1" x14ac:dyDescent="0.25">
      <c r="A1470" s="5"/>
      <c r="B1470" s="23" t="s">
        <v>1219</v>
      </c>
      <c r="C1470" s="80" t="s">
        <v>1263</v>
      </c>
      <c r="D1470" s="12">
        <v>29310</v>
      </c>
      <c r="E1470" s="12">
        <v>183</v>
      </c>
      <c r="F1470" s="12">
        <v>160</v>
      </c>
      <c r="G1470" s="12" t="s">
        <v>1264</v>
      </c>
      <c r="H1470" s="12" t="s">
        <v>138</v>
      </c>
      <c r="I1470" s="12">
        <v>67</v>
      </c>
      <c r="J1470" s="12" t="s">
        <v>105</v>
      </c>
      <c r="K1470" s="1" t="s">
        <v>106</v>
      </c>
      <c r="L1470" s="12" t="s">
        <v>3380</v>
      </c>
      <c r="M1470" s="1" t="s">
        <v>107</v>
      </c>
      <c r="N1470" s="12" t="s">
        <v>108</v>
      </c>
      <c r="O1470" s="1" t="s">
        <v>139</v>
      </c>
      <c r="P1470" s="12" t="s">
        <v>109</v>
      </c>
      <c r="Q1470" s="1" t="s">
        <v>70</v>
      </c>
      <c r="R1470" s="12">
        <v>80</v>
      </c>
      <c r="S1470" s="12" t="s">
        <v>261</v>
      </c>
      <c r="T1470" s="12" t="s">
        <v>141</v>
      </c>
      <c r="U1470" s="12" t="s">
        <v>73</v>
      </c>
      <c r="V1470" s="1" t="s">
        <v>1223</v>
      </c>
      <c r="W1470" s="1" t="s">
        <v>2932</v>
      </c>
      <c r="X1470" s="12" t="s">
        <v>1232</v>
      </c>
      <c r="Y1470" s="12">
        <v>0.12</v>
      </c>
      <c r="Z1470" s="12">
        <v>6</v>
      </c>
      <c r="AA1470" s="12" t="s">
        <v>77</v>
      </c>
      <c r="AB1470" s="12" t="s">
        <v>114</v>
      </c>
      <c r="AC1470" s="226" t="e">
        <f>HYPERLINK(#REF!,"ССЫЛКА")</f>
        <v>#REF!</v>
      </c>
      <c r="AD1470" s="86" t="e">
        <f>ROUNDUP(1.7*#REF!,0)</f>
        <v>#REF!</v>
      </c>
    </row>
    <row r="1471" spans="1:30" s="12" customFormat="1" ht="39.950000000000003" hidden="1" customHeight="1" outlineLevel="1" x14ac:dyDescent="0.25">
      <c r="A1471" s="5"/>
      <c r="B1471" s="23" t="s">
        <v>1219</v>
      </c>
      <c r="C1471" s="80" t="s">
        <v>1265</v>
      </c>
      <c r="D1471" s="12">
        <v>16560</v>
      </c>
      <c r="E1471" s="12">
        <v>108</v>
      </c>
      <c r="F1471" s="12">
        <v>153</v>
      </c>
      <c r="G1471" s="12" t="s">
        <v>1266</v>
      </c>
      <c r="H1471" s="12" t="s">
        <v>177</v>
      </c>
      <c r="I1471" s="12">
        <v>67</v>
      </c>
      <c r="J1471" s="12" t="s">
        <v>105</v>
      </c>
      <c r="K1471" s="1" t="s">
        <v>106</v>
      </c>
      <c r="L1471" s="12" t="s">
        <v>3380</v>
      </c>
      <c r="M1471" s="1" t="s">
        <v>107</v>
      </c>
      <c r="N1471" s="12" t="s">
        <v>108</v>
      </c>
      <c r="O1471" s="1" t="s">
        <v>68</v>
      </c>
      <c r="P1471" s="12" t="s">
        <v>109</v>
      </c>
      <c r="Q1471" s="1" t="s">
        <v>70</v>
      </c>
      <c r="R1471" s="12">
        <v>70</v>
      </c>
      <c r="S1471" s="12" t="s">
        <v>1267</v>
      </c>
      <c r="T1471" s="12" t="s">
        <v>1139</v>
      </c>
      <c r="U1471" s="12" t="s">
        <v>142</v>
      </c>
      <c r="V1471" s="1" t="s">
        <v>1223</v>
      </c>
      <c r="W1471" s="1" t="s">
        <v>2932</v>
      </c>
      <c r="X1471" s="12" t="s">
        <v>1236</v>
      </c>
      <c r="Y1471" s="12">
        <v>0.06</v>
      </c>
      <c r="Z1471" s="12">
        <v>6</v>
      </c>
      <c r="AA1471" s="12" t="s">
        <v>144</v>
      </c>
      <c r="AB1471" s="12" t="s">
        <v>114</v>
      </c>
      <c r="AC1471" s="226" t="e">
        <f>HYPERLINK(#REF!,"ССЫЛКА")</f>
        <v>#REF!</v>
      </c>
      <c r="AD1471" s="86" t="e">
        <f>ROUNDUP(1.7*#REF!,0)</f>
        <v>#REF!</v>
      </c>
    </row>
    <row r="1472" spans="1:30" s="12" customFormat="1" ht="39.950000000000003" hidden="1" customHeight="1" outlineLevel="1" x14ac:dyDescent="0.25">
      <c r="A1472" s="5"/>
      <c r="B1472" s="23" t="s">
        <v>1219</v>
      </c>
      <c r="C1472" s="80" t="s">
        <v>1268</v>
      </c>
      <c r="D1472" s="12">
        <v>16560</v>
      </c>
      <c r="E1472" s="12">
        <v>108</v>
      </c>
      <c r="F1472" s="12">
        <v>153</v>
      </c>
      <c r="G1472" s="12" t="s">
        <v>1269</v>
      </c>
      <c r="H1472" s="12" t="s">
        <v>180</v>
      </c>
      <c r="I1472" s="12">
        <v>67</v>
      </c>
      <c r="J1472" s="12" t="s">
        <v>105</v>
      </c>
      <c r="K1472" s="1" t="s">
        <v>106</v>
      </c>
      <c r="L1472" s="12" t="s">
        <v>3380</v>
      </c>
      <c r="M1472" s="1" t="s">
        <v>107</v>
      </c>
      <c r="N1472" s="12" t="s">
        <v>108</v>
      </c>
      <c r="O1472" s="1" t="s">
        <v>68</v>
      </c>
      <c r="P1472" s="12" t="s">
        <v>109</v>
      </c>
      <c r="Q1472" s="1" t="s">
        <v>70</v>
      </c>
      <c r="R1472" s="12">
        <v>70</v>
      </c>
      <c r="S1472" s="12" t="s">
        <v>1267</v>
      </c>
      <c r="T1472" s="12" t="s">
        <v>1139</v>
      </c>
      <c r="U1472" s="12" t="s">
        <v>142</v>
      </c>
      <c r="V1472" s="1" t="s">
        <v>1223</v>
      </c>
      <c r="W1472" s="1" t="s">
        <v>2932</v>
      </c>
      <c r="X1472" s="12" t="s">
        <v>1236</v>
      </c>
      <c r="Y1472" s="12">
        <v>0.06</v>
      </c>
      <c r="Z1472" s="12">
        <v>6</v>
      </c>
      <c r="AA1472" s="12" t="s">
        <v>144</v>
      </c>
      <c r="AB1472" s="12" t="s">
        <v>114</v>
      </c>
      <c r="AC1472" s="226" t="e">
        <f>HYPERLINK(#REF!,"ССЫЛКА")</f>
        <v>#REF!</v>
      </c>
      <c r="AD1472" s="86" t="e">
        <f>ROUNDUP(1.7*#REF!,0)</f>
        <v>#REF!</v>
      </c>
    </row>
    <row r="1473" spans="1:30" s="12" customFormat="1" ht="39.950000000000003" hidden="1" customHeight="1" outlineLevel="1" x14ac:dyDescent="0.25">
      <c r="A1473" s="5"/>
      <c r="B1473" s="23" t="s">
        <v>1219</v>
      </c>
      <c r="C1473" s="80" t="s">
        <v>1270</v>
      </c>
      <c r="D1473" s="12">
        <v>16560</v>
      </c>
      <c r="E1473" s="12">
        <v>108</v>
      </c>
      <c r="F1473" s="12">
        <v>153</v>
      </c>
      <c r="G1473" s="12" t="s">
        <v>1271</v>
      </c>
      <c r="H1473" s="12" t="s">
        <v>183</v>
      </c>
      <c r="I1473" s="12">
        <v>67</v>
      </c>
      <c r="J1473" s="12" t="s">
        <v>105</v>
      </c>
      <c r="K1473" s="1" t="s">
        <v>106</v>
      </c>
      <c r="L1473" s="12" t="s">
        <v>3380</v>
      </c>
      <c r="M1473" s="1" t="s">
        <v>107</v>
      </c>
      <c r="N1473" s="12" t="s">
        <v>108</v>
      </c>
      <c r="O1473" s="1" t="s">
        <v>68</v>
      </c>
      <c r="P1473" s="12" t="s">
        <v>109</v>
      </c>
      <c r="Q1473" s="1" t="s">
        <v>70</v>
      </c>
      <c r="R1473" s="12">
        <v>70</v>
      </c>
      <c r="S1473" s="12" t="s">
        <v>1267</v>
      </c>
      <c r="T1473" s="12" t="s">
        <v>1139</v>
      </c>
      <c r="U1473" s="12" t="s">
        <v>142</v>
      </c>
      <c r="V1473" s="1" t="s">
        <v>1223</v>
      </c>
      <c r="W1473" s="1" t="s">
        <v>2932</v>
      </c>
      <c r="X1473" s="12" t="s">
        <v>1236</v>
      </c>
      <c r="Y1473" s="12">
        <v>0.06</v>
      </c>
      <c r="Z1473" s="12">
        <v>6</v>
      </c>
      <c r="AA1473" s="12" t="s">
        <v>144</v>
      </c>
      <c r="AB1473" s="12" t="s">
        <v>114</v>
      </c>
      <c r="AC1473" s="226" t="e">
        <f>HYPERLINK(#REF!,"ССЫЛКА")</f>
        <v>#REF!</v>
      </c>
      <c r="AD1473" s="86" t="e">
        <f>ROUNDUP(1.7*#REF!,0)</f>
        <v>#REF!</v>
      </c>
    </row>
    <row r="1474" spans="1:30" s="12" customFormat="1" ht="39.950000000000003" hidden="1" customHeight="1" outlineLevel="1" x14ac:dyDescent="0.25">
      <c r="A1474" s="5"/>
      <c r="B1474" s="23" t="s">
        <v>1219</v>
      </c>
      <c r="C1474" s="80" t="s">
        <v>1272</v>
      </c>
      <c r="D1474" s="12">
        <v>33680</v>
      </c>
      <c r="E1474" s="12">
        <v>212</v>
      </c>
      <c r="F1474" s="12">
        <v>158</v>
      </c>
      <c r="G1474" s="12" t="s">
        <v>1273</v>
      </c>
      <c r="H1474" s="12" t="s">
        <v>177</v>
      </c>
      <c r="I1474" s="12">
        <v>67</v>
      </c>
      <c r="J1474" s="12" t="s">
        <v>105</v>
      </c>
      <c r="K1474" s="1" t="s">
        <v>106</v>
      </c>
      <c r="L1474" s="12" t="s">
        <v>3380</v>
      </c>
      <c r="M1474" s="1" t="s">
        <v>107</v>
      </c>
      <c r="N1474" s="12" t="s">
        <v>108</v>
      </c>
      <c r="O1474" s="1" t="s">
        <v>68</v>
      </c>
      <c r="P1474" s="12" t="s">
        <v>109</v>
      </c>
      <c r="Q1474" s="1" t="s">
        <v>70</v>
      </c>
      <c r="R1474" s="12">
        <v>70</v>
      </c>
      <c r="S1474" s="12" t="s">
        <v>1274</v>
      </c>
      <c r="T1474" s="12" t="s">
        <v>1139</v>
      </c>
      <c r="U1474" s="12" t="s">
        <v>142</v>
      </c>
      <c r="V1474" s="1" t="s">
        <v>1223</v>
      </c>
      <c r="W1474" s="1" t="s">
        <v>2932</v>
      </c>
      <c r="X1474" s="12" t="s">
        <v>1244</v>
      </c>
      <c r="Y1474" s="12">
        <v>0.14000000000000001</v>
      </c>
      <c r="Z1474" s="12">
        <v>8</v>
      </c>
      <c r="AA1474" s="12" t="s">
        <v>144</v>
      </c>
      <c r="AB1474" s="12" t="s">
        <v>114</v>
      </c>
      <c r="AC1474" s="226" t="e">
        <f>HYPERLINK(#REF!,"ССЫЛКА")</f>
        <v>#REF!</v>
      </c>
      <c r="AD1474" s="86" t="e">
        <f>ROUNDUP(1.7*#REF!,0)</f>
        <v>#REF!</v>
      </c>
    </row>
    <row r="1475" spans="1:30" s="12" customFormat="1" ht="39.950000000000003" hidden="1" customHeight="1" outlineLevel="1" x14ac:dyDescent="0.25">
      <c r="A1475" s="5"/>
      <c r="B1475" s="23" t="s">
        <v>1219</v>
      </c>
      <c r="C1475" s="80" t="s">
        <v>1275</v>
      </c>
      <c r="D1475" s="12">
        <v>33680</v>
      </c>
      <c r="E1475" s="12">
        <v>212</v>
      </c>
      <c r="F1475" s="12">
        <v>158</v>
      </c>
      <c r="G1475" s="12" t="s">
        <v>1276</v>
      </c>
      <c r="H1475" s="12" t="s">
        <v>180</v>
      </c>
      <c r="I1475" s="12">
        <v>67</v>
      </c>
      <c r="J1475" s="12" t="s">
        <v>105</v>
      </c>
      <c r="K1475" s="1" t="s">
        <v>106</v>
      </c>
      <c r="L1475" s="12" t="s">
        <v>3380</v>
      </c>
      <c r="M1475" s="1" t="s">
        <v>107</v>
      </c>
      <c r="N1475" s="12" t="s">
        <v>108</v>
      </c>
      <c r="O1475" s="1" t="s">
        <v>68</v>
      </c>
      <c r="P1475" s="12" t="s">
        <v>109</v>
      </c>
      <c r="Q1475" s="1" t="s">
        <v>70</v>
      </c>
      <c r="R1475" s="12">
        <v>70</v>
      </c>
      <c r="S1475" s="12" t="s">
        <v>1274</v>
      </c>
      <c r="T1475" s="12" t="s">
        <v>1139</v>
      </c>
      <c r="U1475" s="12" t="s">
        <v>142</v>
      </c>
      <c r="V1475" s="1" t="s">
        <v>1223</v>
      </c>
      <c r="W1475" s="1" t="s">
        <v>2932</v>
      </c>
      <c r="X1475" s="12" t="s">
        <v>1244</v>
      </c>
      <c r="Y1475" s="12">
        <v>0.14000000000000001</v>
      </c>
      <c r="Z1475" s="12">
        <v>8</v>
      </c>
      <c r="AA1475" s="12" t="s">
        <v>144</v>
      </c>
      <c r="AB1475" s="12" t="s">
        <v>114</v>
      </c>
      <c r="AC1475" s="226" t="e">
        <f>HYPERLINK(#REF!,"ССЫЛКА")</f>
        <v>#REF!</v>
      </c>
      <c r="AD1475" s="86" t="e">
        <f>ROUNDUP(1.7*#REF!,0)</f>
        <v>#REF!</v>
      </c>
    </row>
    <row r="1476" spans="1:30" s="12" customFormat="1" ht="39.950000000000003" hidden="1" customHeight="1" outlineLevel="1" x14ac:dyDescent="0.25">
      <c r="A1476" s="5"/>
      <c r="B1476" s="23" t="s">
        <v>1219</v>
      </c>
      <c r="C1476" s="80" t="s">
        <v>1277</v>
      </c>
      <c r="D1476" s="12">
        <v>33680</v>
      </c>
      <c r="E1476" s="12">
        <v>212</v>
      </c>
      <c r="F1476" s="12">
        <v>158</v>
      </c>
      <c r="G1476" s="12" t="s">
        <v>1278</v>
      </c>
      <c r="H1476" s="12" t="s">
        <v>183</v>
      </c>
      <c r="I1476" s="12">
        <v>67</v>
      </c>
      <c r="J1476" s="12" t="s">
        <v>105</v>
      </c>
      <c r="K1476" s="1" t="s">
        <v>106</v>
      </c>
      <c r="L1476" s="12" t="s">
        <v>3380</v>
      </c>
      <c r="M1476" s="1" t="s">
        <v>107</v>
      </c>
      <c r="N1476" s="12" t="s">
        <v>108</v>
      </c>
      <c r="O1476" s="1" t="s">
        <v>68</v>
      </c>
      <c r="P1476" s="12" t="s">
        <v>109</v>
      </c>
      <c r="Q1476" s="1" t="s">
        <v>70</v>
      </c>
      <c r="R1476" s="12">
        <v>70</v>
      </c>
      <c r="S1476" s="12" t="s">
        <v>1274</v>
      </c>
      <c r="T1476" s="12" t="s">
        <v>1139</v>
      </c>
      <c r="U1476" s="12" t="s">
        <v>142</v>
      </c>
      <c r="V1476" s="1" t="s">
        <v>1223</v>
      </c>
      <c r="W1476" s="1" t="s">
        <v>2932</v>
      </c>
      <c r="X1476" s="12" t="s">
        <v>1244</v>
      </c>
      <c r="Y1476" s="12">
        <v>0.14000000000000001</v>
      </c>
      <c r="Z1476" s="12">
        <v>8</v>
      </c>
      <c r="AA1476" s="12" t="s">
        <v>144</v>
      </c>
      <c r="AB1476" s="12" t="s">
        <v>114</v>
      </c>
      <c r="AC1476" s="226" t="e">
        <f>HYPERLINK(#REF!,"ССЫЛКА")</f>
        <v>#REF!</v>
      </c>
      <c r="AD1476" s="86" t="e">
        <f>ROUNDUP(1.7*#REF!,0)</f>
        <v>#REF!</v>
      </c>
    </row>
    <row r="1477" spans="1:30" s="12" customFormat="1" ht="39.950000000000003" hidden="1" customHeight="1" outlineLevel="1" x14ac:dyDescent="0.25">
      <c r="A1477" s="5"/>
      <c r="B1477" s="23" t="s">
        <v>1219</v>
      </c>
      <c r="C1477" s="80" t="s">
        <v>1279</v>
      </c>
      <c r="D1477" s="12">
        <v>12420</v>
      </c>
      <c r="E1477" s="12">
        <v>81</v>
      </c>
      <c r="F1477" s="12">
        <v>153</v>
      </c>
      <c r="G1477" s="12" t="s">
        <v>1280</v>
      </c>
      <c r="H1477" s="12" t="s">
        <v>177</v>
      </c>
      <c r="I1477" s="12">
        <v>67</v>
      </c>
      <c r="J1477" s="12" t="s">
        <v>105</v>
      </c>
      <c r="K1477" s="1" t="s">
        <v>106</v>
      </c>
      <c r="L1477" s="12" t="s">
        <v>3380</v>
      </c>
      <c r="M1477" s="1" t="s">
        <v>107</v>
      </c>
      <c r="N1477" s="12" t="s">
        <v>108</v>
      </c>
      <c r="O1477" s="1" t="s">
        <v>68</v>
      </c>
      <c r="P1477" s="12" t="s">
        <v>109</v>
      </c>
      <c r="Q1477" s="1" t="s">
        <v>70</v>
      </c>
      <c r="R1477" s="12">
        <v>70</v>
      </c>
      <c r="S1477" s="12" t="s">
        <v>1281</v>
      </c>
      <c r="T1477" s="12" t="s">
        <v>1139</v>
      </c>
      <c r="U1477" s="12" t="s">
        <v>142</v>
      </c>
      <c r="V1477" s="1" t="s">
        <v>1223</v>
      </c>
      <c r="W1477" s="1" t="s">
        <v>2932</v>
      </c>
      <c r="X1477" s="12" t="s">
        <v>1236</v>
      </c>
      <c r="Y1477" s="12">
        <v>0.06</v>
      </c>
      <c r="Z1477" s="12">
        <v>5</v>
      </c>
      <c r="AA1477" s="12" t="s">
        <v>144</v>
      </c>
      <c r="AB1477" s="12" t="s">
        <v>114</v>
      </c>
      <c r="AC1477" s="226" t="e">
        <f>HYPERLINK(#REF!,"ССЫЛКА")</f>
        <v>#REF!</v>
      </c>
      <c r="AD1477" s="86" t="e">
        <f>ROUNDUP(1.7*#REF!,0)</f>
        <v>#REF!</v>
      </c>
    </row>
    <row r="1478" spans="1:30" s="12" customFormat="1" ht="39.950000000000003" hidden="1" customHeight="1" outlineLevel="1" x14ac:dyDescent="0.25">
      <c r="A1478" s="5"/>
      <c r="B1478" s="23" t="s">
        <v>1219</v>
      </c>
      <c r="C1478" s="80" t="s">
        <v>1282</v>
      </c>
      <c r="D1478" s="12">
        <v>12420</v>
      </c>
      <c r="E1478" s="12">
        <v>81</v>
      </c>
      <c r="F1478" s="12">
        <v>153</v>
      </c>
      <c r="G1478" s="12" t="s">
        <v>1283</v>
      </c>
      <c r="H1478" s="12" t="s">
        <v>180</v>
      </c>
      <c r="I1478" s="12">
        <v>67</v>
      </c>
      <c r="J1478" s="12" t="s">
        <v>105</v>
      </c>
      <c r="K1478" s="1" t="s">
        <v>106</v>
      </c>
      <c r="L1478" s="12" t="s">
        <v>3380</v>
      </c>
      <c r="M1478" s="1" t="s">
        <v>107</v>
      </c>
      <c r="N1478" s="12" t="s">
        <v>108</v>
      </c>
      <c r="O1478" s="1" t="s">
        <v>68</v>
      </c>
      <c r="P1478" s="12" t="s">
        <v>109</v>
      </c>
      <c r="Q1478" s="1" t="s">
        <v>70</v>
      </c>
      <c r="R1478" s="12">
        <v>70</v>
      </c>
      <c r="S1478" s="12" t="s">
        <v>1281</v>
      </c>
      <c r="T1478" s="12" t="s">
        <v>1139</v>
      </c>
      <c r="U1478" s="12" t="s">
        <v>142</v>
      </c>
      <c r="V1478" s="1" t="s">
        <v>1223</v>
      </c>
      <c r="W1478" s="1" t="s">
        <v>2932</v>
      </c>
      <c r="X1478" s="12" t="s">
        <v>1236</v>
      </c>
      <c r="Y1478" s="12">
        <v>0.06</v>
      </c>
      <c r="Z1478" s="12">
        <v>5</v>
      </c>
      <c r="AA1478" s="12" t="s">
        <v>144</v>
      </c>
      <c r="AB1478" s="12" t="s">
        <v>114</v>
      </c>
      <c r="AC1478" s="226" t="e">
        <f>HYPERLINK(#REF!,"ССЫЛКА")</f>
        <v>#REF!</v>
      </c>
      <c r="AD1478" s="86" t="e">
        <f>ROUNDUP(1.7*#REF!,0)</f>
        <v>#REF!</v>
      </c>
    </row>
    <row r="1479" spans="1:30" s="12" customFormat="1" ht="39.950000000000003" hidden="1" customHeight="1" outlineLevel="1" x14ac:dyDescent="0.25">
      <c r="A1479" s="5"/>
      <c r="B1479" s="23" t="s">
        <v>1219</v>
      </c>
      <c r="C1479" s="80" t="s">
        <v>1284</v>
      </c>
      <c r="D1479" s="12">
        <v>12420</v>
      </c>
      <c r="E1479" s="12">
        <v>81</v>
      </c>
      <c r="F1479" s="12">
        <v>153</v>
      </c>
      <c r="G1479" s="12" t="s">
        <v>1285</v>
      </c>
      <c r="H1479" s="12" t="s">
        <v>183</v>
      </c>
      <c r="I1479" s="12">
        <v>67</v>
      </c>
      <c r="J1479" s="12" t="s">
        <v>105</v>
      </c>
      <c r="K1479" s="1" t="s">
        <v>106</v>
      </c>
      <c r="L1479" s="12" t="s">
        <v>3380</v>
      </c>
      <c r="M1479" s="1" t="s">
        <v>107</v>
      </c>
      <c r="N1479" s="12" t="s">
        <v>108</v>
      </c>
      <c r="O1479" s="1" t="s">
        <v>68</v>
      </c>
      <c r="P1479" s="12" t="s">
        <v>109</v>
      </c>
      <c r="Q1479" s="1" t="s">
        <v>70</v>
      </c>
      <c r="R1479" s="12">
        <v>70</v>
      </c>
      <c r="S1479" s="12" t="s">
        <v>1281</v>
      </c>
      <c r="T1479" s="12" t="s">
        <v>1139</v>
      </c>
      <c r="U1479" s="12" t="s">
        <v>142</v>
      </c>
      <c r="V1479" s="1" t="s">
        <v>1223</v>
      </c>
      <c r="W1479" s="1" t="s">
        <v>2932</v>
      </c>
      <c r="X1479" s="12" t="s">
        <v>1236</v>
      </c>
      <c r="Y1479" s="12">
        <v>0.06</v>
      </c>
      <c r="Z1479" s="12">
        <v>5</v>
      </c>
      <c r="AA1479" s="12" t="s">
        <v>144</v>
      </c>
      <c r="AB1479" s="12" t="s">
        <v>114</v>
      </c>
      <c r="AC1479" s="226" t="e">
        <f>HYPERLINK(#REF!,"ССЫЛКА")</f>
        <v>#REF!</v>
      </c>
      <c r="AD1479" s="86" t="e">
        <f>ROUNDUP(1.7*#REF!,0)</f>
        <v>#REF!</v>
      </c>
    </row>
    <row r="1480" spans="1:30" s="12" customFormat="1" ht="39.950000000000003" hidden="1" customHeight="1" outlineLevel="1" x14ac:dyDescent="0.25">
      <c r="A1480" s="5"/>
      <c r="B1480" s="23" t="s">
        <v>1219</v>
      </c>
      <c r="C1480" s="80" t="s">
        <v>1286</v>
      </c>
      <c r="D1480" s="12">
        <v>25260</v>
      </c>
      <c r="E1480" s="12">
        <v>159</v>
      </c>
      <c r="F1480" s="12">
        <v>158</v>
      </c>
      <c r="G1480" s="12" t="s">
        <v>1287</v>
      </c>
      <c r="H1480" s="12" t="s">
        <v>177</v>
      </c>
      <c r="I1480" s="12">
        <v>67</v>
      </c>
      <c r="J1480" s="12" t="s">
        <v>105</v>
      </c>
      <c r="K1480" s="1" t="s">
        <v>106</v>
      </c>
      <c r="L1480" s="12" t="s">
        <v>3380</v>
      </c>
      <c r="M1480" s="1" t="s">
        <v>107</v>
      </c>
      <c r="N1480" s="12" t="s">
        <v>108</v>
      </c>
      <c r="O1480" s="1" t="s">
        <v>68</v>
      </c>
      <c r="P1480" s="12" t="s">
        <v>109</v>
      </c>
      <c r="Q1480" s="1" t="s">
        <v>70</v>
      </c>
      <c r="R1480" s="12">
        <v>70</v>
      </c>
      <c r="S1480" s="12" t="s">
        <v>1288</v>
      </c>
      <c r="T1480" s="12" t="s">
        <v>1139</v>
      </c>
      <c r="U1480" s="12" t="s">
        <v>142</v>
      </c>
      <c r="V1480" s="1" t="s">
        <v>1223</v>
      </c>
      <c r="W1480" s="1" t="s">
        <v>2932</v>
      </c>
      <c r="X1480" s="12" t="s">
        <v>1244</v>
      </c>
      <c r="Y1480" s="12">
        <v>0.14000000000000001</v>
      </c>
      <c r="Z1480" s="12">
        <v>6</v>
      </c>
      <c r="AA1480" s="12" t="s">
        <v>144</v>
      </c>
      <c r="AB1480" s="12" t="s">
        <v>114</v>
      </c>
      <c r="AC1480" s="226" t="e">
        <f>HYPERLINK(#REF!,"ССЫЛКА")</f>
        <v>#REF!</v>
      </c>
      <c r="AD1480" s="86" t="e">
        <f>ROUNDUP(1.7*#REF!,0)</f>
        <v>#REF!</v>
      </c>
    </row>
    <row r="1481" spans="1:30" s="12" customFormat="1" ht="39.950000000000003" hidden="1" customHeight="1" outlineLevel="1" x14ac:dyDescent="0.25">
      <c r="A1481" s="5"/>
      <c r="B1481" s="23" t="s">
        <v>1219</v>
      </c>
      <c r="C1481" s="80" t="s">
        <v>1289</v>
      </c>
      <c r="D1481" s="12">
        <v>25260</v>
      </c>
      <c r="E1481" s="12">
        <v>159</v>
      </c>
      <c r="F1481" s="12">
        <v>158</v>
      </c>
      <c r="G1481" s="12" t="s">
        <v>1290</v>
      </c>
      <c r="H1481" s="12" t="s">
        <v>180</v>
      </c>
      <c r="I1481" s="12">
        <v>67</v>
      </c>
      <c r="J1481" s="12" t="s">
        <v>105</v>
      </c>
      <c r="K1481" s="1" t="s">
        <v>106</v>
      </c>
      <c r="L1481" s="12" t="s">
        <v>3380</v>
      </c>
      <c r="M1481" s="1" t="s">
        <v>107</v>
      </c>
      <c r="N1481" s="12" t="s">
        <v>108</v>
      </c>
      <c r="O1481" s="1" t="s">
        <v>68</v>
      </c>
      <c r="P1481" s="12" t="s">
        <v>109</v>
      </c>
      <c r="Q1481" s="1" t="s">
        <v>70</v>
      </c>
      <c r="R1481" s="12">
        <v>70</v>
      </c>
      <c r="S1481" s="12" t="s">
        <v>1288</v>
      </c>
      <c r="T1481" s="12" t="s">
        <v>1139</v>
      </c>
      <c r="U1481" s="12" t="s">
        <v>142</v>
      </c>
      <c r="V1481" s="1" t="s">
        <v>1223</v>
      </c>
      <c r="W1481" s="1" t="s">
        <v>2932</v>
      </c>
      <c r="X1481" s="12" t="s">
        <v>1244</v>
      </c>
      <c r="Y1481" s="12">
        <v>0.14000000000000001</v>
      </c>
      <c r="Z1481" s="12">
        <v>6</v>
      </c>
      <c r="AA1481" s="12" t="s">
        <v>144</v>
      </c>
      <c r="AB1481" s="12" t="s">
        <v>114</v>
      </c>
      <c r="AC1481" s="226" t="e">
        <f>HYPERLINK(#REF!,"ССЫЛКА")</f>
        <v>#REF!</v>
      </c>
      <c r="AD1481" s="86" t="e">
        <f>ROUNDUP(1.7*#REF!,0)</f>
        <v>#REF!</v>
      </c>
    </row>
    <row r="1482" spans="1:30" s="12" customFormat="1" ht="39.950000000000003" hidden="1" customHeight="1" outlineLevel="1" x14ac:dyDescent="0.25">
      <c r="A1482" s="5"/>
      <c r="B1482" s="23" t="s">
        <v>1219</v>
      </c>
      <c r="C1482" s="80" t="s">
        <v>1291</v>
      </c>
      <c r="D1482" s="12">
        <v>25260</v>
      </c>
      <c r="E1482" s="12">
        <v>159</v>
      </c>
      <c r="F1482" s="12">
        <v>158</v>
      </c>
      <c r="G1482" s="12" t="s">
        <v>1292</v>
      </c>
      <c r="H1482" s="12" t="s">
        <v>183</v>
      </c>
      <c r="I1482" s="12">
        <v>67</v>
      </c>
      <c r="J1482" s="12" t="s">
        <v>105</v>
      </c>
      <c r="K1482" s="1" t="s">
        <v>106</v>
      </c>
      <c r="L1482" s="12" t="s">
        <v>3380</v>
      </c>
      <c r="M1482" s="1" t="s">
        <v>107</v>
      </c>
      <c r="N1482" s="12" t="s">
        <v>108</v>
      </c>
      <c r="O1482" s="1" t="s">
        <v>68</v>
      </c>
      <c r="P1482" s="12" t="s">
        <v>109</v>
      </c>
      <c r="Q1482" s="1" t="s">
        <v>70</v>
      </c>
      <c r="R1482" s="12">
        <v>70</v>
      </c>
      <c r="S1482" s="12" t="s">
        <v>1288</v>
      </c>
      <c r="T1482" s="12" t="s">
        <v>1139</v>
      </c>
      <c r="U1482" s="12" t="s">
        <v>142</v>
      </c>
      <c r="V1482" s="1" t="s">
        <v>1223</v>
      </c>
      <c r="W1482" s="1" t="s">
        <v>2932</v>
      </c>
      <c r="X1482" s="12" t="s">
        <v>1244</v>
      </c>
      <c r="Y1482" s="12">
        <v>0.14000000000000001</v>
      </c>
      <c r="Z1482" s="12">
        <v>6</v>
      </c>
      <c r="AA1482" s="12" t="s">
        <v>144</v>
      </c>
      <c r="AB1482" s="12" t="s">
        <v>114</v>
      </c>
      <c r="AC1482" s="226" t="e">
        <f>HYPERLINK(#REF!,"ССЫЛКА")</f>
        <v>#REF!</v>
      </c>
      <c r="AD1482" s="86" t="e">
        <f>ROUNDUP(1.7*#REF!,0)</f>
        <v>#REF!</v>
      </c>
    </row>
    <row r="1483" spans="1:30" s="12" customFormat="1" ht="39.950000000000003" hidden="1" customHeight="1" outlineLevel="1" x14ac:dyDescent="0.25">
      <c r="A1483" s="5"/>
      <c r="B1483" s="23" t="s">
        <v>2293</v>
      </c>
      <c r="C1483" s="80" t="s">
        <v>2294</v>
      </c>
      <c r="D1483" s="12">
        <v>4840</v>
      </c>
      <c r="E1483" s="12">
        <v>32</v>
      </c>
      <c r="F1483" s="12">
        <v>151</v>
      </c>
      <c r="G1483" s="12" t="s">
        <v>2295</v>
      </c>
      <c r="H1483" s="12" t="s">
        <v>138</v>
      </c>
      <c r="I1483" s="12">
        <v>67</v>
      </c>
      <c r="J1483" s="12" t="s">
        <v>105</v>
      </c>
      <c r="K1483" s="1" t="s">
        <v>106</v>
      </c>
      <c r="L1483" s="12" t="s">
        <v>3380</v>
      </c>
      <c r="M1483" s="1" t="s">
        <v>568</v>
      </c>
      <c r="N1483" s="12" t="s">
        <v>108</v>
      </c>
      <c r="O1483" s="1" t="s">
        <v>139</v>
      </c>
      <c r="P1483" s="12" t="s">
        <v>109</v>
      </c>
      <c r="Q1483" s="1" t="s">
        <v>70</v>
      </c>
      <c r="R1483" s="12">
        <v>80</v>
      </c>
      <c r="S1483" s="12" t="s">
        <v>140</v>
      </c>
      <c r="T1483" s="12" t="s">
        <v>141</v>
      </c>
      <c r="U1483" s="12" t="s">
        <v>142</v>
      </c>
      <c r="V1483" s="1" t="s">
        <v>74</v>
      </c>
      <c r="W1483" s="1" t="s">
        <v>112</v>
      </c>
      <c r="X1483" s="12" t="s">
        <v>2144</v>
      </c>
      <c r="Y1483" s="12">
        <v>5.3949999999999996E-3</v>
      </c>
      <c r="Z1483" s="12">
        <v>0.8</v>
      </c>
      <c r="AA1483" s="12" t="s">
        <v>144</v>
      </c>
      <c r="AB1483" s="12" t="s">
        <v>114</v>
      </c>
      <c r="AC1483" s="226" t="e">
        <f>HYPERLINK(#REF!,"ССЫЛКА")</f>
        <v>#REF!</v>
      </c>
      <c r="AD1483" s="86" t="e">
        <f>ROUNDUP(1.7*#REF!,0)</f>
        <v>#REF!</v>
      </c>
    </row>
    <row r="1484" spans="1:30" s="12" customFormat="1" ht="39.950000000000003" hidden="1" customHeight="1" outlineLevel="1" x14ac:dyDescent="0.25">
      <c r="A1484" s="5"/>
      <c r="B1484" s="23" t="s">
        <v>2293</v>
      </c>
      <c r="C1484" s="80" t="s">
        <v>2296</v>
      </c>
      <c r="D1484" s="12">
        <v>7630</v>
      </c>
      <c r="E1484" s="12">
        <v>48</v>
      </c>
      <c r="F1484" s="12">
        <v>158</v>
      </c>
      <c r="G1484" s="12" t="s">
        <v>2297</v>
      </c>
      <c r="H1484" s="12" t="s">
        <v>138</v>
      </c>
      <c r="I1484" s="12">
        <v>67</v>
      </c>
      <c r="J1484" s="12" t="s">
        <v>105</v>
      </c>
      <c r="K1484" s="1" t="s">
        <v>106</v>
      </c>
      <c r="L1484" s="12" t="s">
        <v>3380</v>
      </c>
      <c r="M1484" s="1" t="s">
        <v>568</v>
      </c>
      <c r="N1484" s="12" t="s">
        <v>108</v>
      </c>
      <c r="O1484" s="1" t="s">
        <v>139</v>
      </c>
      <c r="P1484" s="12" t="s">
        <v>109</v>
      </c>
      <c r="Q1484" s="1" t="s">
        <v>70</v>
      </c>
      <c r="R1484" s="12">
        <v>80</v>
      </c>
      <c r="S1484" s="12" t="s">
        <v>147</v>
      </c>
      <c r="T1484" s="12" t="s">
        <v>141</v>
      </c>
      <c r="U1484" s="12" t="s">
        <v>142</v>
      </c>
      <c r="V1484" s="1" t="s">
        <v>74</v>
      </c>
      <c r="W1484" s="1" t="s">
        <v>112</v>
      </c>
      <c r="X1484" s="12" t="s">
        <v>2298</v>
      </c>
      <c r="Y1484" s="12">
        <v>5.3949999999999996E-3</v>
      </c>
      <c r="Z1484" s="12">
        <v>1</v>
      </c>
      <c r="AA1484" s="12" t="s">
        <v>144</v>
      </c>
      <c r="AB1484" s="12" t="s">
        <v>114</v>
      </c>
      <c r="AC1484" s="226" t="e">
        <f>HYPERLINK(#REF!,"ССЫЛКА")</f>
        <v>#REF!</v>
      </c>
      <c r="AD1484" s="86" t="e">
        <f>ROUNDUP(1.7*#REF!,0)</f>
        <v>#REF!</v>
      </c>
    </row>
    <row r="1485" spans="1:30" s="12" customFormat="1" ht="39.950000000000003" hidden="1" customHeight="1" outlineLevel="1" x14ac:dyDescent="0.25">
      <c r="A1485" s="5"/>
      <c r="B1485" s="23" t="s">
        <v>2293</v>
      </c>
      <c r="C1485" s="80" t="s">
        <v>2299</v>
      </c>
      <c r="D1485" s="12">
        <v>4840</v>
      </c>
      <c r="E1485" s="12">
        <v>32</v>
      </c>
      <c r="F1485" s="12">
        <v>151</v>
      </c>
      <c r="G1485" s="12" t="s">
        <v>2300</v>
      </c>
      <c r="H1485" s="12" t="s">
        <v>138</v>
      </c>
      <c r="I1485" s="12">
        <v>67</v>
      </c>
      <c r="J1485" s="12" t="s">
        <v>105</v>
      </c>
      <c r="K1485" s="1" t="s">
        <v>106</v>
      </c>
      <c r="L1485" s="12" t="s">
        <v>3380</v>
      </c>
      <c r="M1485" s="1" t="s">
        <v>568</v>
      </c>
      <c r="N1485" s="12" t="s">
        <v>108</v>
      </c>
      <c r="O1485" s="1" t="s">
        <v>139</v>
      </c>
      <c r="P1485" s="12" t="s">
        <v>109</v>
      </c>
      <c r="Q1485" s="1" t="s">
        <v>70</v>
      </c>
      <c r="R1485" s="12">
        <v>80</v>
      </c>
      <c r="S1485" s="12" t="s">
        <v>140</v>
      </c>
      <c r="T1485" s="12" t="s">
        <v>141</v>
      </c>
      <c r="U1485" s="12" t="s">
        <v>142</v>
      </c>
      <c r="V1485" s="1" t="s">
        <v>74</v>
      </c>
      <c r="W1485" s="1" t="s">
        <v>160</v>
      </c>
      <c r="X1485" s="12" t="s">
        <v>2144</v>
      </c>
      <c r="Y1485" s="12">
        <v>7.3039999999999997E-3</v>
      </c>
      <c r="Z1485" s="12">
        <v>0.8</v>
      </c>
      <c r="AA1485" s="12" t="s">
        <v>144</v>
      </c>
      <c r="AB1485" s="12" t="s">
        <v>114</v>
      </c>
      <c r="AC1485" s="226" t="e">
        <f>HYPERLINK(#REF!,"ССЫЛКА")</f>
        <v>#REF!</v>
      </c>
      <c r="AD1485" s="86" t="e">
        <f>ROUNDUP(1.7*#REF!,0)</f>
        <v>#REF!</v>
      </c>
    </row>
    <row r="1486" spans="1:30" s="12" customFormat="1" ht="39.950000000000003" hidden="1" customHeight="1" outlineLevel="1" x14ac:dyDescent="0.25">
      <c r="A1486" s="5"/>
      <c r="B1486" s="23" t="s">
        <v>2293</v>
      </c>
      <c r="C1486" s="80" t="s">
        <v>2301</v>
      </c>
      <c r="D1486" s="12">
        <v>7630</v>
      </c>
      <c r="E1486" s="12">
        <v>48</v>
      </c>
      <c r="F1486" s="12">
        <v>158</v>
      </c>
      <c r="G1486" s="12" t="s">
        <v>2302</v>
      </c>
      <c r="H1486" s="12" t="s">
        <v>138</v>
      </c>
      <c r="I1486" s="12">
        <v>67</v>
      </c>
      <c r="J1486" s="12" t="s">
        <v>105</v>
      </c>
      <c r="K1486" s="1" t="s">
        <v>106</v>
      </c>
      <c r="L1486" s="12" t="s">
        <v>3380</v>
      </c>
      <c r="M1486" s="1" t="s">
        <v>568</v>
      </c>
      <c r="N1486" s="12" t="s">
        <v>108</v>
      </c>
      <c r="O1486" s="1" t="s">
        <v>139</v>
      </c>
      <c r="P1486" s="12" t="s">
        <v>109</v>
      </c>
      <c r="Q1486" s="1" t="s">
        <v>70</v>
      </c>
      <c r="R1486" s="12">
        <v>80</v>
      </c>
      <c r="S1486" s="12" t="s">
        <v>147</v>
      </c>
      <c r="T1486" s="12" t="s">
        <v>141</v>
      </c>
      <c r="U1486" s="12" t="s">
        <v>142</v>
      </c>
      <c r="V1486" s="1" t="s">
        <v>74</v>
      </c>
      <c r="W1486" s="1" t="s">
        <v>160</v>
      </c>
      <c r="X1486" s="12" t="s">
        <v>2298</v>
      </c>
      <c r="Y1486" s="12">
        <v>7.1609999999999998E-3</v>
      </c>
      <c r="Z1486" s="12">
        <v>1</v>
      </c>
      <c r="AA1486" s="12" t="s">
        <v>144</v>
      </c>
      <c r="AB1486" s="12" t="s">
        <v>114</v>
      </c>
      <c r="AC1486" s="226" t="e">
        <f>HYPERLINK(#REF!,"ССЫЛКА")</f>
        <v>#REF!</v>
      </c>
      <c r="AD1486" s="86" t="e">
        <f>ROUNDUP(1.7*#REF!,0)</f>
        <v>#REF!</v>
      </c>
    </row>
    <row r="1487" spans="1:30" s="154" customFormat="1" ht="39.950000000000003" hidden="1" customHeight="1" outlineLevel="1" x14ac:dyDescent="0.25">
      <c r="A1487" s="6"/>
      <c r="B1487" s="21" t="s">
        <v>3415</v>
      </c>
      <c r="C1487" s="80" t="s">
        <v>3398</v>
      </c>
      <c r="D1487" s="161">
        <v>5200</v>
      </c>
      <c r="E1487" s="161">
        <v>40</v>
      </c>
      <c r="F1487" s="161">
        <v>130</v>
      </c>
      <c r="G1487" s="154" t="s">
        <v>3433</v>
      </c>
      <c r="H1487" s="23" t="s">
        <v>3416</v>
      </c>
      <c r="I1487" s="161">
        <v>54</v>
      </c>
      <c r="J1487" s="154" t="s">
        <v>105</v>
      </c>
      <c r="K1487" s="23" t="s">
        <v>106</v>
      </c>
      <c r="L1487" s="154" t="s">
        <v>3380</v>
      </c>
      <c r="M1487" s="23" t="s">
        <v>2107</v>
      </c>
      <c r="N1487" s="154" t="s">
        <v>67</v>
      </c>
      <c r="O1487" s="23" t="s">
        <v>3420</v>
      </c>
      <c r="P1487" s="154" t="s">
        <v>109</v>
      </c>
      <c r="Q1487" s="23" t="s">
        <v>70</v>
      </c>
      <c r="R1487" s="154">
        <v>80</v>
      </c>
      <c r="S1487" s="154" t="s">
        <v>3377</v>
      </c>
      <c r="T1487" s="154" t="s">
        <v>1692</v>
      </c>
      <c r="U1487" s="154" t="s">
        <v>2007</v>
      </c>
      <c r="V1487" s="21" t="s">
        <v>74</v>
      </c>
      <c r="W1487" s="23" t="s">
        <v>1961</v>
      </c>
      <c r="X1487" s="161" t="s">
        <v>3454</v>
      </c>
      <c r="Y1487" s="161">
        <v>3.2399999999999998E-3</v>
      </c>
      <c r="Z1487" s="161">
        <v>3.3</v>
      </c>
      <c r="AA1487" s="161" t="s">
        <v>1933</v>
      </c>
      <c r="AB1487" s="161" t="s">
        <v>114</v>
      </c>
      <c r="AC1487" s="226" t="e">
        <f>HYPERLINK(#REF!,"ССЫЛКА")</f>
        <v>#REF!</v>
      </c>
      <c r="AD1487" s="86" t="e">
        <f>ROUNDUP(1.7*#REF!,0)</f>
        <v>#REF!</v>
      </c>
    </row>
    <row r="1488" spans="1:30" s="154" customFormat="1" ht="39.950000000000003" hidden="1" customHeight="1" outlineLevel="1" x14ac:dyDescent="0.25">
      <c r="A1488" s="6"/>
      <c r="B1488" s="21" t="s">
        <v>3415</v>
      </c>
      <c r="C1488" s="81" t="s">
        <v>3399</v>
      </c>
      <c r="D1488" s="161">
        <v>5200</v>
      </c>
      <c r="E1488" s="161">
        <v>40</v>
      </c>
      <c r="F1488" s="161">
        <v>130</v>
      </c>
      <c r="G1488" s="154" t="s">
        <v>3434</v>
      </c>
      <c r="H1488" s="23" t="s">
        <v>3417</v>
      </c>
      <c r="I1488" s="161">
        <v>54</v>
      </c>
      <c r="J1488" s="154" t="s">
        <v>105</v>
      </c>
      <c r="K1488" s="23" t="s">
        <v>106</v>
      </c>
      <c r="L1488" s="154" t="s">
        <v>3380</v>
      </c>
      <c r="M1488" s="23" t="s">
        <v>2107</v>
      </c>
      <c r="N1488" s="154" t="s">
        <v>67</v>
      </c>
      <c r="O1488" s="23" t="s">
        <v>3420</v>
      </c>
      <c r="P1488" s="154" t="s">
        <v>109</v>
      </c>
      <c r="Q1488" s="23" t="s">
        <v>70</v>
      </c>
      <c r="R1488" s="154">
        <v>80</v>
      </c>
      <c r="S1488" s="154" t="s">
        <v>3377</v>
      </c>
      <c r="T1488" s="154" t="s">
        <v>1692</v>
      </c>
      <c r="U1488" s="154" t="s">
        <v>2007</v>
      </c>
      <c r="V1488" s="21" t="s">
        <v>74</v>
      </c>
      <c r="W1488" s="23" t="s">
        <v>1961</v>
      </c>
      <c r="X1488" s="161" t="s">
        <v>3454</v>
      </c>
      <c r="Y1488" s="161">
        <v>3.2399999999999998E-3</v>
      </c>
      <c r="Z1488" s="161">
        <v>3.3</v>
      </c>
      <c r="AA1488" s="161" t="s">
        <v>1933</v>
      </c>
      <c r="AB1488" s="161" t="s">
        <v>114</v>
      </c>
      <c r="AC1488" s="226" t="e">
        <f>HYPERLINK(#REF!,"ССЫЛКА")</f>
        <v>#REF!</v>
      </c>
      <c r="AD1488" s="86" t="e">
        <f>ROUNDUP(1.7*#REF!,0)</f>
        <v>#REF!</v>
      </c>
    </row>
    <row r="1489" spans="1:30" s="154" customFormat="1" ht="39.950000000000003" hidden="1" customHeight="1" outlineLevel="1" x14ac:dyDescent="0.25">
      <c r="A1489" s="6"/>
      <c r="B1489" s="21" t="s">
        <v>3415</v>
      </c>
      <c r="C1489" s="81" t="s">
        <v>3400</v>
      </c>
      <c r="D1489" s="161">
        <v>5200</v>
      </c>
      <c r="E1489" s="161">
        <v>40</v>
      </c>
      <c r="F1489" s="161">
        <v>130</v>
      </c>
      <c r="G1489" s="154" t="s">
        <v>3435</v>
      </c>
      <c r="H1489" s="23" t="s">
        <v>3418</v>
      </c>
      <c r="I1489" s="161">
        <v>54</v>
      </c>
      <c r="J1489" s="154" t="s">
        <v>105</v>
      </c>
      <c r="K1489" s="23" t="s">
        <v>106</v>
      </c>
      <c r="L1489" s="154" t="s">
        <v>3380</v>
      </c>
      <c r="M1489" s="23" t="s">
        <v>2107</v>
      </c>
      <c r="N1489" s="154" t="s">
        <v>67</v>
      </c>
      <c r="O1489" s="23" t="s">
        <v>3420</v>
      </c>
      <c r="P1489" s="154" t="s">
        <v>109</v>
      </c>
      <c r="Q1489" s="23" t="s">
        <v>70</v>
      </c>
      <c r="R1489" s="154">
        <v>80</v>
      </c>
      <c r="S1489" s="154" t="s">
        <v>3377</v>
      </c>
      <c r="T1489" s="154" t="s">
        <v>1692</v>
      </c>
      <c r="U1489" s="154" t="s">
        <v>2007</v>
      </c>
      <c r="V1489" s="21" t="s">
        <v>74</v>
      </c>
      <c r="W1489" s="23" t="s">
        <v>1961</v>
      </c>
      <c r="X1489" s="161" t="s">
        <v>3454</v>
      </c>
      <c r="Y1489" s="161">
        <v>3.2399999999999998E-3</v>
      </c>
      <c r="Z1489" s="161">
        <v>3.3</v>
      </c>
      <c r="AA1489" s="161" t="s">
        <v>1933</v>
      </c>
      <c r="AB1489" s="161" t="s">
        <v>114</v>
      </c>
      <c r="AC1489" s="226" t="e">
        <f>HYPERLINK(#REF!,"ССЫЛКА")</f>
        <v>#REF!</v>
      </c>
      <c r="AD1489" s="86" t="e">
        <f>ROUNDUP(1.7*#REF!,0)</f>
        <v>#REF!</v>
      </c>
    </row>
    <row r="1490" spans="1:30" s="154" customFormat="1" ht="39.950000000000003" hidden="1" customHeight="1" outlineLevel="1" x14ac:dyDescent="0.25">
      <c r="A1490" s="6"/>
      <c r="B1490" s="21" t="s">
        <v>3415</v>
      </c>
      <c r="C1490" s="81" t="s">
        <v>3401</v>
      </c>
      <c r="D1490" s="161">
        <v>5200</v>
      </c>
      <c r="E1490" s="161">
        <v>40</v>
      </c>
      <c r="F1490" s="161">
        <v>130</v>
      </c>
      <c r="G1490" s="154" t="s">
        <v>3436</v>
      </c>
      <c r="H1490" s="23" t="s">
        <v>3419</v>
      </c>
      <c r="I1490" s="161">
        <v>54</v>
      </c>
      <c r="J1490" s="154" t="s">
        <v>105</v>
      </c>
      <c r="K1490" s="23" t="s">
        <v>106</v>
      </c>
      <c r="L1490" s="154" t="s">
        <v>3380</v>
      </c>
      <c r="M1490" s="23" t="s">
        <v>2107</v>
      </c>
      <c r="N1490" s="154" t="s">
        <v>67</v>
      </c>
      <c r="O1490" s="23" t="s">
        <v>3420</v>
      </c>
      <c r="P1490" s="154" t="s">
        <v>109</v>
      </c>
      <c r="Q1490" s="23" t="s">
        <v>70</v>
      </c>
      <c r="R1490" s="154">
        <v>80</v>
      </c>
      <c r="S1490" s="154" t="s">
        <v>3377</v>
      </c>
      <c r="T1490" s="154" t="s">
        <v>1692</v>
      </c>
      <c r="U1490" s="154" t="s">
        <v>2007</v>
      </c>
      <c r="V1490" s="21" t="s">
        <v>74</v>
      </c>
      <c r="W1490" s="23" t="s">
        <v>1961</v>
      </c>
      <c r="X1490" s="161" t="s">
        <v>3454</v>
      </c>
      <c r="Y1490" s="161">
        <v>3.2399999999999998E-3</v>
      </c>
      <c r="Z1490" s="161">
        <v>3.3</v>
      </c>
      <c r="AA1490" s="161" t="s">
        <v>1933</v>
      </c>
      <c r="AB1490" s="161" t="s">
        <v>114</v>
      </c>
      <c r="AC1490" s="226" t="e">
        <f>HYPERLINK(#REF!,"ССЫЛКА")</f>
        <v>#REF!</v>
      </c>
      <c r="AD1490" s="86" t="e">
        <f>ROUNDUP(1.7*#REF!,0)</f>
        <v>#REF!</v>
      </c>
    </row>
    <row r="1491" spans="1:30" s="154" customFormat="1" ht="39.950000000000003" hidden="1" customHeight="1" outlineLevel="1" x14ac:dyDescent="0.25">
      <c r="A1491" s="6"/>
      <c r="B1491" s="21" t="s">
        <v>3415</v>
      </c>
      <c r="C1491" s="80" t="s">
        <v>3402</v>
      </c>
      <c r="D1491" s="161">
        <v>5600</v>
      </c>
      <c r="E1491" s="161">
        <v>40</v>
      </c>
      <c r="F1491" s="161">
        <v>140</v>
      </c>
      <c r="G1491" s="154" t="s">
        <v>3437</v>
      </c>
      <c r="H1491" s="176" t="s">
        <v>138</v>
      </c>
      <c r="I1491" s="161">
        <v>54</v>
      </c>
      <c r="J1491" s="154" t="s">
        <v>105</v>
      </c>
      <c r="K1491" s="23" t="s">
        <v>106</v>
      </c>
      <c r="L1491" s="154" t="s">
        <v>3380</v>
      </c>
      <c r="M1491" s="23" t="s">
        <v>2107</v>
      </c>
      <c r="N1491" s="154" t="s">
        <v>67</v>
      </c>
      <c r="O1491" s="21" t="s">
        <v>3421</v>
      </c>
      <c r="P1491" s="154" t="s">
        <v>109</v>
      </c>
      <c r="Q1491" s="23" t="s">
        <v>70</v>
      </c>
      <c r="R1491" s="154">
        <v>80</v>
      </c>
      <c r="S1491" s="154" t="s">
        <v>3377</v>
      </c>
      <c r="T1491" s="154" t="s">
        <v>1692</v>
      </c>
      <c r="U1491" s="154" t="s">
        <v>2007</v>
      </c>
      <c r="V1491" s="21" t="s">
        <v>74</v>
      </c>
      <c r="W1491" s="23" t="s">
        <v>1961</v>
      </c>
      <c r="X1491" s="161" t="s">
        <v>3454</v>
      </c>
      <c r="Y1491" s="161">
        <v>3.2399999999999998E-3</v>
      </c>
      <c r="Z1491" s="161">
        <v>3.3</v>
      </c>
      <c r="AA1491" s="161" t="s">
        <v>1933</v>
      </c>
      <c r="AB1491" s="161" t="s">
        <v>114</v>
      </c>
      <c r="AC1491" s="226" t="e">
        <f>HYPERLINK(#REF!,"ССЫЛКА")</f>
        <v>#REF!</v>
      </c>
      <c r="AD1491" s="86" t="e">
        <f>ROUNDUP(1.7*#REF!,0)</f>
        <v>#REF!</v>
      </c>
    </row>
    <row r="1492" spans="1:30" s="154" customFormat="1" ht="39.950000000000003" hidden="1" customHeight="1" outlineLevel="1" x14ac:dyDescent="0.25">
      <c r="A1492" s="6"/>
      <c r="B1492" s="21" t="s">
        <v>3415</v>
      </c>
      <c r="C1492" s="81" t="s">
        <v>3403</v>
      </c>
      <c r="D1492" s="161">
        <v>5760</v>
      </c>
      <c r="E1492" s="161">
        <v>40</v>
      </c>
      <c r="F1492" s="161">
        <v>144</v>
      </c>
      <c r="G1492" s="154" t="s">
        <v>3438</v>
      </c>
      <c r="H1492" s="176" t="s">
        <v>138</v>
      </c>
      <c r="I1492" s="161">
        <v>54</v>
      </c>
      <c r="J1492" s="154" t="s">
        <v>105</v>
      </c>
      <c r="K1492" s="23" t="s">
        <v>106</v>
      </c>
      <c r="L1492" s="154" t="s">
        <v>3380</v>
      </c>
      <c r="M1492" s="23" t="s">
        <v>2107</v>
      </c>
      <c r="N1492" s="154" t="s">
        <v>67</v>
      </c>
      <c r="O1492" s="21" t="s">
        <v>3422</v>
      </c>
      <c r="P1492" s="154" t="s">
        <v>109</v>
      </c>
      <c r="Q1492" s="23" t="s">
        <v>70</v>
      </c>
      <c r="R1492" s="154">
        <v>80</v>
      </c>
      <c r="S1492" s="154" t="s">
        <v>3377</v>
      </c>
      <c r="T1492" s="154" t="s">
        <v>1692</v>
      </c>
      <c r="U1492" s="154" t="s">
        <v>2007</v>
      </c>
      <c r="V1492" s="21" t="s">
        <v>74</v>
      </c>
      <c r="W1492" s="23" t="s">
        <v>1961</v>
      </c>
      <c r="X1492" s="161" t="s">
        <v>3454</v>
      </c>
      <c r="Y1492" s="161">
        <v>3.2399999999999998E-3</v>
      </c>
      <c r="Z1492" s="161">
        <v>3.3</v>
      </c>
      <c r="AA1492" s="161" t="s">
        <v>1933</v>
      </c>
      <c r="AB1492" s="161" t="s">
        <v>114</v>
      </c>
      <c r="AC1492" s="226" t="e">
        <f>HYPERLINK(#REF!,"ССЫЛКА")</f>
        <v>#REF!</v>
      </c>
      <c r="AD1492" s="86" t="e">
        <f>ROUNDUP(1.7*#REF!,0)</f>
        <v>#REF!</v>
      </c>
    </row>
    <row r="1493" spans="1:30" s="154" customFormat="1" ht="39.950000000000003" hidden="1" customHeight="1" outlineLevel="1" x14ac:dyDescent="0.25">
      <c r="A1493" s="6"/>
      <c r="B1493" s="21" t="s">
        <v>3415</v>
      </c>
      <c r="C1493" s="81" t="s">
        <v>3404</v>
      </c>
      <c r="D1493" s="161">
        <v>7020</v>
      </c>
      <c r="E1493" s="161">
        <v>54</v>
      </c>
      <c r="F1493" s="161">
        <v>130</v>
      </c>
      <c r="G1493" s="154" t="s">
        <v>3439</v>
      </c>
      <c r="H1493" s="23" t="s">
        <v>3416</v>
      </c>
      <c r="I1493" s="161">
        <v>54</v>
      </c>
      <c r="J1493" s="154" t="s">
        <v>105</v>
      </c>
      <c r="K1493" s="23" t="s">
        <v>106</v>
      </c>
      <c r="L1493" s="154" t="s">
        <v>3380</v>
      </c>
      <c r="M1493" s="23" t="s">
        <v>2107</v>
      </c>
      <c r="N1493" s="154" t="s">
        <v>67</v>
      </c>
      <c r="O1493" s="23" t="s">
        <v>3420</v>
      </c>
      <c r="P1493" s="154" t="s">
        <v>109</v>
      </c>
      <c r="Q1493" s="23" t="s">
        <v>70</v>
      </c>
      <c r="R1493" s="154">
        <v>80</v>
      </c>
      <c r="S1493" s="154" t="s">
        <v>3377</v>
      </c>
      <c r="T1493" s="154" t="s">
        <v>1692</v>
      </c>
      <c r="U1493" s="154" t="s">
        <v>2007</v>
      </c>
      <c r="V1493" s="21" t="s">
        <v>74</v>
      </c>
      <c r="W1493" s="23" t="s">
        <v>1961</v>
      </c>
      <c r="X1493" s="161" t="s">
        <v>3455</v>
      </c>
      <c r="Y1493" s="161">
        <v>4.3200000000000001E-3</v>
      </c>
      <c r="Z1493" s="161">
        <v>4.4000000000000004</v>
      </c>
      <c r="AA1493" s="161" t="s">
        <v>1933</v>
      </c>
      <c r="AB1493" s="161" t="s">
        <v>114</v>
      </c>
      <c r="AC1493" s="226" t="e">
        <f>HYPERLINK(#REF!,"ССЫЛКА")</f>
        <v>#REF!</v>
      </c>
      <c r="AD1493" s="86" t="e">
        <f>ROUNDUP(1.7*#REF!,0)</f>
        <v>#REF!</v>
      </c>
    </row>
    <row r="1494" spans="1:30" s="154" customFormat="1" ht="39.950000000000003" hidden="1" customHeight="1" outlineLevel="1" x14ac:dyDescent="0.25">
      <c r="A1494" s="6"/>
      <c r="B1494" s="21" t="s">
        <v>3415</v>
      </c>
      <c r="C1494" s="81" t="s">
        <v>3405</v>
      </c>
      <c r="D1494" s="161">
        <v>7020</v>
      </c>
      <c r="E1494" s="161">
        <v>54</v>
      </c>
      <c r="F1494" s="161">
        <v>130</v>
      </c>
      <c r="G1494" s="154" t="s">
        <v>3440</v>
      </c>
      <c r="H1494" s="23" t="s">
        <v>3417</v>
      </c>
      <c r="I1494" s="161">
        <v>54</v>
      </c>
      <c r="J1494" s="154" t="s">
        <v>105</v>
      </c>
      <c r="K1494" s="23" t="s">
        <v>106</v>
      </c>
      <c r="L1494" s="154" t="s">
        <v>3380</v>
      </c>
      <c r="M1494" s="23" t="s">
        <v>2107</v>
      </c>
      <c r="N1494" s="154" t="s">
        <v>67</v>
      </c>
      <c r="O1494" s="23" t="s">
        <v>3420</v>
      </c>
      <c r="P1494" s="154" t="s">
        <v>109</v>
      </c>
      <c r="Q1494" s="23" t="s">
        <v>70</v>
      </c>
      <c r="R1494" s="154">
        <v>80</v>
      </c>
      <c r="S1494" s="154" t="s">
        <v>3377</v>
      </c>
      <c r="T1494" s="154" t="s">
        <v>1692</v>
      </c>
      <c r="U1494" s="154" t="s">
        <v>2007</v>
      </c>
      <c r="V1494" s="21" t="s">
        <v>74</v>
      </c>
      <c r="W1494" s="23" t="s">
        <v>1961</v>
      </c>
      <c r="X1494" s="161" t="s">
        <v>3455</v>
      </c>
      <c r="Y1494" s="161">
        <v>4.3200000000000001E-3</v>
      </c>
      <c r="Z1494" s="161">
        <v>4.4000000000000004</v>
      </c>
      <c r="AA1494" s="161" t="s">
        <v>1933</v>
      </c>
      <c r="AB1494" s="161" t="s">
        <v>114</v>
      </c>
      <c r="AC1494" s="226" t="e">
        <f>HYPERLINK(#REF!,"ССЫЛКА")</f>
        <v>#REF!</v>
      </c>
      <c r="AD1494" s="86" t="e">
        <f>ROUNDUP(1.7*#REF!,0)</f>
        <v>#REF!</v>
      </c>
    </row>
    <row r="1495" spans="1:30" s="154" customFormat="1" ht="39.950000000000003" hidden="1" customHeight="1" outlineLevel="1" x14ac:dyDescent="0.25">
      <c r="A1495" s="6"/>
      <c r="B1495" s="21" t="s">
        <v>3415</v>
      </c>
      <c r="C1495" s="81" t="s">
        <v>3406</v>
      </c>
      <c r="D1495" s="161">
        <v>7020</v>
      </c>
      <c r="E1495" s="161">
        <v>54</v>
      </c>
      <c r="F1495" s="161">
        <v>130</v>
      </c>
      <c r="G1495" s="154" t="s">
        <v>3441</v>
      </c>
      <c r="H1495" s="23" t="s">
        <v>3418</v>
      </c>
      <c r="I1495" s="161">
        <v>54</v>
      </c>
      <c r="J1495" s="154" t="s">
        <v>105</v>
      </c>
      <c r="K1495" s="23" t="s">
        <v>106</v>
      </c>
      <c r="L1495" s="154" t="s">
        <v>3380</v>
      </c>
      <c r="M1495" s="23" t="s">
        <v>2107</v>
      </c>
      <c r="N1495" s="154" t="s">
        <v>67</v>
      </c>
      <c r="O1495" s="23" t="s">
        <v>3420</v>
      </c>
      <c r="P1495" s="154" t="s">
        <v>109</v>
      </c>
      <c r="Q1495" s="23" t="s">
        <v>70</v>
      </c>
      <c r="R1495" s="154">
        <v>80</v>
      </c>
      <c r="S1495" s="154" t="s">
        <v>3377</v>
      </c>
      <c r="T1495" s="154" t="s">
        <v>1692</v>
      </c>
      <c r="U1495" s="154" t="s">
        <v>2007</v>
      </c>
      <c r="V1495" s="21" t="s">
        <v>74</v>
      </c>
      <c r="W1495" s="23" t="s">
        <v>1961</v>
      </c>
      <c r="X1495" s="161" t="s">
        <v>3455</v>
      </c>
      <c r="Y1495" s="161">
        <v>4.3200000000000001E-3</v>
      </c>
      <c r="Z1495" s="161">
        <v>4.4000000000000004</v>
      </c>
      <c r="AA1495" s="161" t="s">
        <v>1933</v>
      </c>
      <c r="AB1495" s="161" t="s">
        <v>114</v>
      </c>
      <c r="AC1495" s="226" t="e">
        <f>HYPERLINK(#REF!,"ССЫЛКА")</f>
        <v>#REF!</v>
      </c>
      <c r="AD1495" s="86" t="e">
        <f>ROUNDUP(1.7*#REF!,0)</f>
        <v>#REF!</v>
      </c>
    </row>
    <row r="1496" spans="1:30" s="154" customFormat="1" ht="39.950000000000003" hidden="1" customHeight="1" outlineLevel="1" x14ac:dyDescent="0.25">
      <c r="A1496" s="6"/>
      <c r="B1496" s="21" t="s">
        <v>3415</v>
      </c>
      <c r="C1496" s="81" t="s">
        <v>3407</v>
      </c>
      <c r="D1496" s="161">
        <v>7020</v>
      </c>
      <c r="E1496" s="161">
        <v>54</v>
      </c>
      <c r="F1496" s="161">
        <v>130</v>
      </c>
      <c r="G1496" s="154" t="s">
        <v>3442</v>
      </c>
      <c r="H1496" s="23" t="s">
        <v>3419</v>
      </c>
      <c r="I1496" s="161">
        <v>54</v>
      </c>
      <c r="J1496" s="154" t="s">
        <v>105</v>
      </c>
      <c r="K1496" s="23" t="s">
        <v>106</v>
      </c>
      <c r="L1496" s="154" t="s">
        <v>3380</v>
      </c>
      <c r="M1496" s="23" t="s">
        <v>2107</v>
      </c>
      <c r="N1496" s="154" t="s">
        <v>67</v>
      </c>
      <c r="O1496" s="23" t="s">
        <v>3420</v>
      </c>
      <c r="P1496" s="154" t="s">
        <v>109</v>
      </c>
      <c r="Q1496" s="23" t="s">
        <v>70</v>
      </c>
      <c r="R1496" s="154">
        <v>80</v>
      </c>
      <c r="S1496" s="154" t="s">
        <v>3377</v>
      </c>
      <c r="T1496" s="154" t="s">
        <v>1692</v>
      </c>
      <c r="U1496" s="154" t="s">
        <v>2007</v>
      </c>
      <c r="V1496" s="21" t="s">
        <v>74</v>
      </c>
      <c r="W1496" s="23" t="s">
        <v>1961</v>
      </c>
      <c r="X1496" s="161" t="s">
        <v>3455</v>
      </c>
      <c r="Y1496" s="161">
        <v>4.3200000000000001E-3</v>
      </c>
      <c r="Z1496" s="161">
        <v>4.4000000000000004</v>
      </c>
      <c r="AA1496" s="161" t="s">
        <v>1933</v>
      </c>
      <c r="AB1496" s="161" t="s">
        <v>114</v>
      </c>
      <c r="AC1496" s="226" t="e">
        <f>HYPERLINK(#REF!,"ССЫЛКА")</f>
        <v>#REF!</v>
      </c>
      <c r="AD1496" s="86" t="e">
        <f>ROUNDUP(1.7*#REF!,0)</f>
        <v>#REF!</v>
      </c>
    </row>
    <row r="1497" spans="1:30" s="154" customFormat="1" ht="39.950000000000003" hidden="1" customHeight="1" outlineLevel="1" x14ac:dyDescent="0.25">
      <c r="A1497" s="6"/>
      <c r="B1497" s="21" t="s">
        <v>3415</v>
      </c>
      <c r="C1497" s="80" t="s">
        <v>3408</v>
      </c>
      <c r="D1497" s="161">
        <v>7560</v>
      </c>
      <c r="E1497" s="161">
        <v>54</v>
      </c>
      <c r="F1497" s="161">
        <v>140</v>
      </c>
      <c r="G1497" s="154" t="s">
        <v>3443</v>
      </c>
      <c r="H1497" s="176" t="s">
        <v>138</v>
      </c>
      <c r="I1497" s="161">
        <v>54</v>
      </c>
      <c r="J1497" s="154" t="s">
        <v>105</v>
      </c>
      <c r="K1497" s="23" t="s">
        <v>106</v>
      </c>
      <c r="L1497" s="154" t="s">
        <v>3380</v>
      </c>
      <c r="M1497" s="23" t="s">
        <v>2107</v>
      </c>
      <c r="N1497" s="154" t="s">
        <v>67</v>
      </c>
      <c r="O1497" s="21" t="s">
        <v>3421</v>
      </c>
      <c r="P1497" s="154" t="s">
        <v>109</v>
      </c>
      <c r="Q1497" s="23" t="s">
        <v>70</v>
      </c>
      <c r="R1497" s="154">
        <v>80</v>
      </c>
      <c r="S1497" s="154" t="s">
        <v>3377</v>
      </c>
      <c r="T1497" s="154" t="s">
        <v>1692</v>
      </c>
      <c r="U1497" s="154" t="s">
        <v>2007</v>
      </c>
      <c r="V1497" s="21" t="s">
        <v>74</v>
      </c>
      <c r="W1497" s="23" t="s">
        <v>1961</v>
      </c>
      <c r="X1497" s="161" t="s">
        <v>3455</v>
      </c>
      <c r="Y1497" s="161">
        <v>4.3200000000000001E-3</v>
      </c>
      <c r="Z1497" s="161">
        <v>4.4000000000000004</v>
      </c>
      <c r="AA1497" s="161" t="s">
        <v>1933</v>
      </c>
      <c r="AB1497" s="161" t="s">
        <v>114</v>
      </c>
      <c r="AC1497" s="226" t="e">
        <f>HYPERLINK(#REF!,"ССЫЛКА")</f>
        <v>#REF!</v>
      </c>
      <c r="AD1497" s="86" t="e">
        <f>ROUNDUP(1.7*#REF!,0)</f>
        <v>#REF!</v>
      </c>
    </row>
    <row r="1498" spans="1:30" s="154" customFormat="1" ht="39.950000000000003" hidden="1" customHeight="1" outlineLevel="1" x14ac:dyDescent="0.25">
      <c r="A1498" s="6"/>
      <c r="B1498" s="21" t="s">
        <v>3415</v>
      </c>
      <c r="C1498" s="81" t="s">
        <v>3426</v>
      </c>
      <c r="D1498" s="161">
        <v>7786</v>
      </c>
      <c r="E1498" s="161">
        <v>54</v>
      </c>
      <c r="F1498" s="161">
        <v>144</v>
      </c>
      <c r="G1498" s="154" t="s">
        <v>3444</v>
      </c>
      <c r="H1498" s="176" t="s">
        <v>138</v>
      </c>
      <c r="I1498" s="161">
        <v>54</v>
      </c>
      <c r="J1498" s="154" t="s">
        <v>105</v>
      </c>
      <c r="K1498" s="23" t="s">
        <v>106</v>
      </c>
      <c r="L1498" s="154" t="s">
        <v>3380</v>
      </c>
      <c r="M1498" s="23" t="s">
        <v>2107</v>
      </c>
      <c r="N1498" s="154" t="s">
        <v>67</v>
      </c>
      <c r="O1498" s="21" t="s">
        <v>3422</v>
      </c>
      <c r="P1498" s="154" t="s">
        <v>109</v>
      </c>
      <c r="Q1498" s="23" t="s">
        <v>70</v>
      </c>
      <c r="R1498" s="154">
        <v>80</v>
      </c>
      <c r="S1498" s="154" t="s">
        <v>3377</v>
      </c>
      <c r="T1498" s="154" t="s">
        <v>1692</v>
      </c>
      <c r="U1498" s="154" t="s">
        <v>2007</v>
      </c>
      <c r="V1498" s="21" t="s">
        <v>74</v>
      </c>
      <c r="W1498" s="23" t="s">
        <v>1961</v>
      </c>
      <c r="X1498" s="161" t="s">
        <v>3455</v>
      </c>
      <c r="Y1498" s="161">
        <v>4.3200000000000001E-3</v>
      </c>
      <c r="Z1498" s="161">
        <v>4.4000000000000004</v>
      </c>
      <c r="AA1498" s="161" t="s">
        <v>1933</v>
      </c>
      <c r="AB1498" s="161" t="s">
        <v>114</v>
      </c>
      <c r="AC1498" s="226" t="e">
        <f>HYPERLINK(#REF!,"ССЫЛКА")</f>
        <v>#REF!</v>
      </c>
      <c r="AD1498" s="86" t="e">
        <f>ROUNDUP(1.7*#REF!,0)</f>
        <v>#REF!</v>
      </c>
    </row>
    <row r="1499" spans="1:30" s="154" customFormat="1" ht="39.950000000000003" hidden="1" customHeight="1" outlineLevel="1" x14ac:dyDescent="0.25">
      <c r="A1499" s="6"/>
      <c r="B1499" s="21" t="s">
        <v>3415</v>
      </c>
      <c r="C1499" s="80" t="s">
        <v>3409</v>
      </c>
      <c r="D1499" s="161">
        <v>8710</v>
      </c>
      <c r="E1499" s="161">
        <v>67</v>
      </c>
      <c r="F1499" s="161">
        <v>130</v>
      </c>
      <c r="G1499" s="154" t="s">
        <v>3445</v>
      </c>
      <c r="H1499" s="23" t="s">
        <v>3416</v>
      </c>
      <c r="I1499" s="161">
        <v>54</v>
      </c>
      <c r="J1499" s="154" t="s">
        <v>105</v>
      </c>
      <c r="K1499" s="23" t="s">
        <v>106</v>
      </c>
      <c r="L1499" s="154" t="s">
        <v>3380</v>
      </c>
      <c r="M1499" s="23" t="s">
        <v>2107</v>
      </c>
      <c r="N1499" s="154" t="s">
        <v>67</v>
      </c>
      <c r="O1499" s="23" t="s">
        <v>3420</v>
      </c>
      <c r="P1499" s="154" t="s">
        <v>109</v>
      </c>
      <c r="Q1499" s="23" t="s">
        <v>70</v>
      </c>
      <c r="R1499" s="154">
        <v>80</v>
      </c>
      <c r="S1499" s="154" t="s">
        <v>3377</v>
      </c>
      <c r="T1499" s="154" t="s">
        <v>1692</v>
      </c>
      <c r="U1499" s="154" t="s">
        <v>2007</v>
      </c>
      <c r="V1499" s="21" t="s">
        <v>74</v>
      </c>
      <c r="W1499" s="23" t="s">
        <v>1961</v>
      </c>
      <c r="X1499" s="161" t="s">
        <v>3456</v>
      </c>
      <c r="Y1499" s="161">
        <v>5.4000000000000003E-3</v>
      </c>
      <c r="Z1499" s="161">
        <v>6.9</v>
      </c>
      <c r="AA1499" s="161" t="s">
        <v>1933</v>
      </c>
      <c r="AB1499" s="161" t="s">
        <v>114</v>
      </c>
      <c r="AC1499" s="226" t="e">
        <f>HYPERLINK(#REF!,"ССЫЛКА")</f>
        <v>#REF!</v>
      </c>
      <c r="AD1499" s="86" t="e">
        <f>ROUNDUP(1.7*#REF!,0)</f>
        <v>#REF!</v>
      </c>
    </row>
    <row r="1500" spans="1:30" s="154" customFormat="1" ht="39.950000000000003" hidden="1" customHeight="1" outlineLevel="1" x14ac:dyDescent="0.25">
      <c r="A1500" s="6"/>
      <c r="B1500" s="21" t="s">
        <v>3415</v>
      </c>
      <c r="C1500" s="81" t="s">
        <v>3410</v>
      </c>
      <c r="D1500" s="161">
        <v>8710</v>
      </c>
      <c r="E1500" s="161">
        <v>67</v>
      </c>
      <c r="F1500" s="161">
        <v>130</v>
      </c>
      <c r="G1500" s="154" t="s">
        <v>3446</v>
      </c>
      <c r="H1500" s="23" t="s">
        <v>3417</v>
      </c>
      <c r="I1500" s="161">
        <v>54</v>
      </c>
      <c r="J1500" s="154" t="s">
        <v>105</v>
      </c>
      <c r="K1500" s="23" t="s">
        <v>106</v>
      </c>
      <c r="L1500" s="154" t="s">
        <v>3380</v>
      </c>
      <c r="M1500" s="23" t="s">
        <v>2107</v>
      </c>
      <c r="N1500" s="154" t="s">
        <v>67</v>
      </c>
      <c r="O1500" s="23" t="s">
        <v>3420</v>
      </c>
      <c r="P1500" s="154" t="s">
        <v>109</v>
      </c>
      <c r="Q1500" s="23" t="s">
        <v>70</v>
      </c>
      <c r="R1500" s="154">
        <v>80</v>
      </c>
      <c r="S1500" s="154" t="s">
        <v>3377</v>
      </c>
      <c r="T1500" s="154" t="s">
        <v>1692</v>
      </c>
      <c r="U1500" s="154" t="s">
        <v>2007</v>
      </c>
      <c r="V1500" s="21" t="s">
        <v>74</v>
      </c>
      <c r="W1500" s="23" t="s">
        <v>1961</v>
      </c>
      <c r="X1500" s="161" t="s">
        <v>3456</v>
      </c>
      <c r="Y1500" s="161">
        <v>5.4000000000000003E-3</v>
      </c>
      <c r="Z1500" s="161">
        <v>6.9</v>
      </c>
      <c r="AA1500" s="161" t="s">
        <v>1933</v>
      </c>
      <c r="AB1500" s="161" t="s">
        <v>114</v>
      </c>
      <c r="AC1500" s="226" t="e">
        <f>HYPERLINK(#REF!,"ССЫЛКА")</f>
        <v>#REF!</v>
      </c>
      <c r="AD1500" s="86" t="e">
        <f>ROUNDUP(1.7*#REF!,0)</f>
        <v>#REF!</v>
      </c>
    </row>
    <row r="1501" spans="1:30" s="154" customFormat="1" ht="39.950000000000003" hidden="1" customHeight="1" outlineLevel="1" x14ac:dyDescent="0.25">
      <c r="A1501" s="6"/>
      <c r="B1501" s="21" t="s">
        <v>3415</v>
      </c>
      <c r="C1501" s="81" t="s">
        <v>3411</v>
      </c>
      <c r="D1501" s="161">
        <v>8710</v>
      </c>
      <c r="E1501" s="161">
        <v>67</v>
      </c>
      <c r="F1501" s="161">
        <v>130</v>
      </c>
      <c r="G1501" s="154" t="s">
        <v>3447</v>
      </c>
      <c r="H1501" s="23" t="s">
        <v>3418</v>
      </c>
      <c r="I1501" s="161">
        <v>54</v>
      </c>
      <c r="J1501" s="154" t="s">
        <v>105</v>
      </c>
      <c r="K1501" s="23" t="s">
        <v>106</v>
      </c>
      <c r="L1501" s="154" t="s">
        <v>3380</v>
      </c>
      <c r="M1501" s="23" t="s">
        <v>2107</v>
      </c>
      <c r="N1501" s="154" t="s">
        <v>67</v>
      </c>
      <c r="O1501" s="23" t="s">
        <v>3420</v>
      </c>
      <c r="P1501" s="154" t="s">
        <v>109</v>
      </c>
      <c r="Q1501" s="23" t="s">
        <v>70</v>
      </c>
      <c r="R1501" s="154">
        <v>80</v>
      </c>
      <c r="S1501" s="154" t="s">
        <v>3377</v>
      </c>
      <c r="T1501" s="154" t="s">
        <v>1692</v>
      </c>
      <c r="U1501" s="154" t="s">
        <v>2007</v>
      </c>
      <c r="V1501" s="21" t="s">
        <v>74</v>
      </c>
      <c r="W1501" s="23" t="s">
        <v>1961</v>
      </c>
      <c r="X1501" s="161" t="s">
        <v>3456</v>
      </c>
      <c r="Y1501" s="161">
        <v>5.4000000000000003E-3</v>
      </c>
      <c r="Z1501" s="161">
        <v>6.9</v>
      </c>
      <c r="AA1501" s="161" t="s">
        <v>1933</v>
      </c>
      <c r="AB1501" s="161" t="s">
        <v>114</v>
      </c>
      <c r="AC1501" s="226" t="e">
        <f>HYPERLINK(#REF!,"ССЫЛКА")</f>
        <v>#REF!</v>
      </c>
      <c r="AD1501" s="86" t="e">
        <f>ROUNDUP(1.7*#REF!,0)</f>
        <v>#REF!</v>
      </c>
    </row>
    <row r="1502" spans="1:30" s="154" customFormat="1" ht="39.950000000000003" hidden="1" customHeight="1" outlineLevel="1" x14ac:dyDescent="0.25">
      <c r="A1502" s="6"/>
      <c r="B1502" s="21" t="s">
        <v>3415</v>
      </c>
      <c r="C1502" s="81" t="s">
        <v>3412</v>
      </c>
      <c r="D1502" s="161">
        <v>8710</v>
      </c>
      <c r="E1502" s="161">
        <v>67</v>
      </c>
      <c r="F1502" s="161">
        <v>130</v>
      </c>
      <c r="G1502" s="154" t="s">
        <v>3448</v>
      </c>
      <c r="H1502" s="23" t="s">
        <v>3419</v>
      </c>
      <c r="I1502" s="161">
        <v>54</v>
      </c>
      <c r="J1502" s="154" t="s">
        <v>105</v>
      </c>
      <c r="K1502" s="23" t="s">
        <v>106</v>
      </c>
      <c r="L1502" s="154" t="s">
        <v>3380</v>
      </c>
      <c r="M1502" s="23" t="s">
        <v>2107</v>
      </c>
      <c r="N1502" s="154" t="s">
        <v>67</v>
      </c>
      <c r="O1502" s="23" t="s">
        <v>3420</v>
      </c>
      <c r="P1502" s="154" t="s">
        <v>109</v>
      </c>
      <c r="Q1502" s="23" t="s">
        <v>70</v>
      </c>
      <c r="R1502" s="154">
        <v>80</v>
      </c>
      <c r="S1502" s="154" t="s">
        <v>3377</v>
      </c>
      <c r="T1502" s="154" t="s">
        <v>1692</v>
      </c>
      <c r="U1502" s="154" t="s">
        <v>2007</v>
      </c>
      <c r="V1502" s="21" t="s">
        <v>74</v>
      </c>
      <c r="W1502" s="23" t="s">
        <v>1961</v>
      </c>
      <c r="X1502" s="161" t="s">
        <v>3456</v>
      </c>
      <c r="Y1502" s="161">
        <v>5.4000000000000003E-3</v>
      </c>
      <c r="Z1502" s="161">
        <v>6.9</v>
      </c>
      <c r="AA1502" s="161" t="s">
        <v>1933</v>
      </c>
      <c r="AB1502" s="161" t="s">
        <v>114</v>
      </c>
      <c r="AC1502" s="226" t="e">
        <f>HYPERLINK(#REF!,"ССЫЛКА")</f>
        <v>#REF!</v>
      </c>
      <c r="AD1502" s="86" t="e">
        <f>ROUNDUP(1.7*#REF!,0)</f>
        <v>#REF!</v>
      </c>
    </row>
    <row r="1503" spans="1:30" s="154" customFormat="1" ht="39.950000000000003" hidden="1" customHeight="1" outlineLevel="1" x14ac:dyDescent="0.25">
      <c r="A1503" s="6"/>
      <c r="B1503" s="21" t="s">
        <v>3415</v>
      </c>
      <c r="C1503" s="80" t="s">
        <v>3413</v>
      </c>
      <c r="D1503" s="161">
        <v>9380</v>
      </c>
      <c r="E1503" s="161">
        <v>67</v>
      </c>
      <c r="F1503" s="161">
        <v>140</v>
      </c>
      <c r="G1503" s="154" t="s">
        <v>3449</v>
      </c>
      <c r="H1503" s="176" t="s">
        <v>138</v>
      </c>
      <c r="I1503" s="161">
        <v>54</v>
      </c>
      <c r="J1503" s="154" t="s">
        <v>105</v>
      </c>
      <c r="K1503" s="23" t="s">
        <v>106</v>
      </c>
      <c r="L1503" s="154" t="s">
        <v>3380</v>
      </c>
      <c r="M1503" s="23" t="s">
        <v>2107</v>
      </c>
      <c r="N1503" s="154" t="s">
        <v>67</v>
      </c>
      <c r="O1503" s="21" t="s">
        <v>3421</v>
      </c>
      <c r="P1503" s="154" t="s">
        <v>109</v>
      </c>
      <c r="Q1503" s="23" t="s">
        <v>70</v>
      </c>
      <c r="R1503" s="154">
        <v>80</v>
      </c>
      <c r="S1503" s="154" t="s">
        <v>3377</v>
      </c>
      <c r="T1503" s="154" t="s">
        <v>1692</v>
      </c>
      <c r="U1503" s="154" t="s">
        <v>2007</v>
      </c>
      <c r="V1503" s="21" t="s">
        <v>74</v>
      </c>
      <c r="W1503" s="23" t="s">
        <v>1961</v>
      </c>
      <c r="X1503" s="161" t="s">
        <v>3456</v>
      </c>
      <c r="Y1503" s="161">
        <v>5.4000000000000003E-3</v>
      </c>
      <c r="Z1503" s="161">
        <v>6.9</v>
      </c>
      <c r="AA1503" s="161" t="s">
        <v>1933</v>
      </c>
      <c r="AB1503" s="161" t="s">
        <v>114</v>
      </c>
      <c r="AC1503" s="226" t="e">
        <f>HYPERLINK(#REF!,"ССЫЛКА")</f>
        <v>#REF!</v>
      </c>
      <c r="AD1503" s="86" t="e">
        <f>ROUNDUP(1.7*#REF!,0)</f>
        <v>#REF!</v>
      </c>
    </row>
    <row r="1504" spans="1:30" s="154" customFormat="1" ht="39.950000000000003" hidden="1" customHeight="1" outlineLevel="1" x14ac:dyDescent="0.25">
      <c r="A1504" s="6"/>
      <c r="B1504" s="21" t="s">
        <v>3415</v>
      </c>
      <c r="C1504" s="81" t="s">
        <v>3414</v>
      </c>
      <c r="D1504" s="161">
        <v>9660</v>
      </c>
      <c r="E1504" s="161">
        <v>67</v>
      </c>
      <c r="F1504" s="161">
        <v>144</v>
      </c>
      <c r="G1504" s="154" t="s">
        <v>3450</v>
      </c>
      <c r="H1504" s="176" t="s">
        <v>138</v>
      </c>
      <c r="I1504" s="161">
        <v>54</v>
      </c>
      <c r="J1504" s="154" t="s">
        <v>105</v>
      </c>
      <c r="K1504" s="23" t="s">
        <v>106</v>
      </c>
      <c r="L1504" s="154" t="s">
        <v>3380</v>
      </c>
      <c r="M1504" s="23" t="s">
        <v>2107</v>
      </c>
      <c r="N1504" s="154" t="s">
        <v>67</v>
      </c>
      <c r="O1504" s="21" t="s">
        <v>3422</v>
      </c>
      <c r="P1504" s="154" t="s">
        <v>109</v>
      </c>
      <c r="Q1504" s="23" t="s">
        <v>70</v>
      </c>
      <c r="R1504" s="154">
        <v>80</v>
      </c>
      <c r="S1504" s="154" t="s">
        <v>3377</v>
      </c>
      <c r="T1504" s="154" t="s">
        <v>1692</v>
      </c>
      <c r="U1504" s="154" t="s">
        <v>2007</v>
      </c>
      <c r="V1504" s="21" t="s">
        <v>74</v>
      </c>
      <c r="W1504" s="23" t="s">
        <v>1961</v>
      </c>
      <c r="X1504" s="161" t="s">
        <v>3456</v>
      </c>
      <c r="Y1504" s="161">
        <v>5.4000000000000003E-3</v>
      </c>
      <c r="Z1504" s="161">
        <v>6.9</v>
      </c>
      <c r="AA1504" s="161" t="s">
        <v>1933</v>
      </c>
      <c r="AB1504" s="161" t="s">
        <v>114</v>
      </c>
      <c r="AC1504" s="226" t="e">
        <f>HYPERLINK(#REF!,"ССЫЛКА")</f>
        <v>#REF!</v>
      </c>
      <c r="AD1504" s="86" t="e">
        <f>ROUNDUP(1.7*#REF!,0)</f>
        <v>#REF!</v>
      </c>
    </row>
    <row r="1505" spans="1:36" s="4" customFormat="1" ht="39.950000000000003" hidden="1" customHeight="1" outlineLevel="1" x14ac:dyDescent="0.25">
      <c r="A1505" s="5"/>
      <c r="B1505" s="21" t="s">
        <v>1796</v>
      </c>
      <c r="C1505" s="157" t="s">
        <v>3179</v>
      </c>
      <c r="D1505" s="4">
        <v>876</v>
      </c>
      <c r="E1505" s="4">
        <v>6</v>
      </c>
      <c r="F1505" s="4">
        <v>146</v>
      </c>
      <c r="G1505" s="4" t="s">
        <v>3144</v>
      </c>
      <c r="H1505" s="4" t="s">
        <v>3123</v>
      </c>
      <c r="I1505" s="4">
        <v>67</v>
      </c>
      <c r="J1505" s="4" t="s">
        <v>389</v>
      </c>
      <c r="K1505" s="5" t="s">
        <v>106</v>
      </c>
      <c r="L1505" s="4" t="s">
        <v>3380</v>
      </c>
      <c r="M1505" s="5" t="s">
        <v>1799</v>
      </c>
      <c r="N1505" s="4" t="s">
        <v>108</v>
      </c>
      <c r="O1505" s="5" t="s">
        <v>1800</v>
      </c>
      <c r="P1505" s="4" t="s">
        <v>109</v>
      </c>
      <c r="Q1505" s="5" t="s">
        <v>70</v>
      </c>
      <c r="R1505" s="4">
        <v>70</v>
      </c>
      <c r="S1505" s="4" t="s">
        <v>3143</v>
      </c>
      <c r="T1505" s="4" t="s">
        <v>174</v>
      </c>
      <c r="U1505" s="4" t="s">
        <v>73</v>
      </c>
      <c r="V1505" s="5" t="s">
        <v>1801</v>
      </c>
      <c r="W1505" s="5" t="s">
        <v>1802</v>
      </c>
      <c r="X1505" s="4" t="s">
        <v>3188</v>
      </c>
      <c r="Y1505" s="4">
        <v>9.6200000000000001E-3</v>
      </c>
      <c r="Z1505" s="4">
        <v>0.4</v>
      </c>
      <c r="AA1505" s="4" t="s">
        <v>77</v>
      </c>
      <c r="AB1505" s="4" t="s">
        <v>114</v>
      </c>
      <c r="AC1505" s="228" t="e">
        <f>HYPERLINK(#REF!,"ССЫЛКА")</f>
        <v>#REF!</v>
      </c>
      <c r="AD1505" s="88" t="e">
        <f>ROUNDUP(1.7*#REF!,0)</f>
        <v>#REF!</v>
      </c>
    </row>
    <row r="1506" spans="1:36" s="12" customFormat="1" ht="39.950000000000003" hidden="1" customHeight="1" outlineLevel="1" x14ac:dyDescent="0.25">
      <c r="A1506" s="5"/>
      <c r="B1506" s="113" t="s">
        <v>1796</v>
      </c>
      <c r="C1506" s="189" t="s">
        <v>3180</v>
      </c>
      <c r="D1506" s="100">
        <v>876</v>
      </c>
      <c r="E1506" s="100">
        <v>6</v>
      </c>
      <c r="F1506" s="100">
        <v>146</v>
      </c>
      <c r="G1506" s="100" t="s">
        <v>3145</v>
      </c>
      <c r="H1506" s="100" t="s">
        <v>1805</v>
      </c>
      <c r="I1506" s="100">
        <v>67</v>
      </c>
      <c r="J1506" s="100" t="s">
        <v>389</v>
      </c>
      <c r="K1506" s="99" t="s">
        <v>106</v>
      </c>
      <c r="L1506" s="100" t="s">
        <v>3380</v>
      </c>
      <c r="M1506" s="99" t="s">
        <v>1799</v>
      </c>
      <c r="N1506" s="100" t="s">
        <v>108</v>
      </c>
      <c r="O1506" s="99" t="s">
        <v>1800</v>
      </c>
      <c r="P1506" s="100" t="s">
        <v>109</v>
      </c>
      <c r="Q1506" s="99" t="s">
        <v>70</v>
      </c>
      <c r="R1506" s="100">
        <v>70</v>
      </c>
      <c r="S1506" s="100" t="s">
        <v>3143</v>
      </c>
      <c r="T1506" s="100" t="s">
        <v>174</v>
      </c>
      <c r="U1506" s="100" t="s">
        <v>73</v>
      </c>
      <c r="V1506" s="99" t="s">
        <v>1801</v>
      </c>
      <c r="W1506" s="99" t="s">
        <v>1802</v>
      </c>
      <c r="X1506" s="100" t="s">
        <v>3188</v>
      </c>
      <c r="Y1506" s="100">
        <v>9.6200000000000001E-3</v>
      </c>
      <c r="Z1506" s="100">
        <v>0.4</v>
      </c>
      <c r="AA1506" s="100" t="s">
        <v>77</v>
      </c>
      <c r="AB1506" s="100" t="s">
        <v>114</v>
      </c>
      <c r="AC1506" s="229" t="e">
        <f>HYPERLINK(#REF!,"ССЫЛКА")</f>
        <v>#REF!</v>
      </c>
      <c r="AD1506" s="86" t="e">
        <f>ROUNDUP(1.7*#REF!,0)</f>
        <v>#REF!</v>
      </c>
    </row>
    <row r="1507" spans="1:36" s="12" customFormat="1" ht="39.950000000000003" hidden="1" customHeight="1" outlineLevel="1" x14ac:dyDescent="0.25">
      <c r="A1507" s="5"/>
      <c r="B1507" s="21" t="s">
        <v>1796</v>
      </c>
      <c r="C1507" s="157" t="s">
        <v>3181</v>
      </c>
      <c r="D1507" s="4">
        <v>876</v>
      </c>
      <c r="E1507" s="4">
        <v>6</v>
      </c>
      <c r="F1507" s="4">
        <v>146</v>
      </c>
      <c r="G1507" s="4" t="s">
        <v>3146</v>
      </c>
      <c r="H1507" s="4" t="s">
        <v>1756</v>
      </c>
      <c r="I1507" s="4">
        <v>67</v>
      </c>
      <c r="J1507" s="4" t="s">
        <v>389</v>
      </c>
      <c r="K1507" s="5" t="s">
        <v>106</v>
      </c>
      <c r="L1507" s="4" t="s">
        <v>3380</v>
      </c>
      <c r="M1507" s="5" t="s">
        <v>1799</v>
      </c>
      <c r="N1507" s="4" t="s">
        <v>108</v>
      </c>
      <c r="O1507" s="5" t="s">
        <v>1800</v>
      </c>
      <c r="P1507" s="4" t="s">
        <v>109</v>
      </c>
      <c r="Q1507" s="5" t="s">
        <v>70</v>
      </c>
      <c r="R1507" s="4">
        <v>70</v>
      </c>
      <c r="S1507" s="4" t="s">
        <v>3143</v>
      </c>
      <c r="T1507" s="4" t="s">
        <v>174</v>
      </c>
      <c r="U1507" s="4" t="s">
        <v>73</v>
      </c>
      <c r="V1507" s="5" t="s">
        <v>1801</v>
      </c>
      <c r="W1507" s="5" t="s">
        <v>1802</v>
      </c>
      <c r="X1507" s="4" t="s">
        <v>3188</v>
      </c>
      <c r="Y1507" s="4">
        <v>9.6200000000000001E-3</v>
      </c>
      <c r="Z1507" s="4">
        <v>0.4</v>
      </c>
      <c r="AA1507" s="4" t="s">
        <v>77</v>
      </c>
      <c r="AB1507" s="4" t="s">
        <v>114</v>
      </c>
      <c r="AC1507" s="228" t="e">
        <f>HYPERLINK(#REF!,"ССЫЛКА")</f>
        <v>#REF!</v>
      </c>
      <c r="AD1507" s="86" t="e">
        <f>ROUNDUP(1.7*#REF!,0)</f>
        <v>#REF!</v>
      </c>
    </row>
    <row r="1508" spans="1:36" s="12" customFormat="1" ht="39.950000000000003" hidden="1" customHeight="1" outlineLevel="1" x14ac:dyDescent="0.25">
      <c r="A1508" s="5"/>
      <c r="B1508" s="113" t="s">
        <v>1796</v>
      </c>
      <c r="C1508" s="189" t="s">
        <v>3182</v>
      </c>
      <c r="D1508" s="100">
        <v>876</v>
      </c>
      <c r="E1508" s="100">
        <v>6</v>
      </c>
      <c r="F1508" s="100">
        <v>146</v>
      </c>
      <c r="G1508" s="100" t="s">
        <v>3147</v>
      </c>
      <c r="H1508" s="100" t="s">
        <v>1577</v>
      </c>
      <c r="I1508" s="100">
        <v>67</v>
      </c>
      <c r="J1508" s="100" t="s">
        <v>389</v>
      </c>
      <c r="K1508" s="99" t="s">
        <v>106</v>
      </c>
      <c r="L1508" s="100" t="s">
        <v>3380</v>
      </c>
      <c r="M1508" s="99" t="s">
        <v>1799</v>
      </c>
      <c r="N1508" s="100" t="s">
        <v>108</v>
      </c>
      <c r="O1508" s="99" t="s">
        <v>1800</v>
      </c>
      <c r="P1508" s="100" t="s">
        <v>109</v>
      </c>
      <c r="Q1508" s="99" t="s">
        <v>70</v>
      </c>
      <c r="R1508" s="100">
        <v>70</v>
      </c>
      <c r="S1508" s="100" t="s">
        <v>3143</v>
      </c>
      <c r="T1508" s="100" t="s">
        <v>174</v>
      </c>
      <c r="U1508" s="100" t="s">
        <v>73</v>
      </c>
      <c r="V1508" s="99" t="s">
        <v>1801</v>
      </c>
      <c r="W1508" s="99" t="s">
        <v>1802</v>
      </c>
      <c r="X1508" s="100" t="s">
        <v>3188</v>
      </c>
      <c r="Y1508" s="100">
        <v>9.6200000000000001E-3</v>
      </c>
      <c r="Z1508" s="100">
        <v>0.4</v>
      </c>
      <c r="AA1508" s="100" t="s">
        <v>77</v>
      </c>
      <c r="AB1508" s="100" t="s">
        <v>114</v>
      </c>
      <c r="AC1508" s="229" t="e">
        <f>HYPERLINK(#REF!,"ССЫЛКА")</f>
        <v>#REF!</v>
      </c>
      <c r="AD1508" s="86" t="e">
        <f>ROUNDUP(1.7*#REF!,0)</f>
        <v>#REF!</v>
      </c>
    </row>
    <row r="1509" spans="1:36" s="12" customFormat="1" ht="39.950000000000003" hidden="1" customHeight="1" outlineLevel="1" x14ac:dyDescent="0.25">
      <c r="A1509" s="5"/>
      <c r="B1509" s="21" t="s">
        <v>1796</v>
      </c>
      <c r="C1509" s="157" t="s">
        <v>3183</v>
      </c>
      <c r="D1509" s="4">
        <v>876</v>
      </c>
      <c r="E1509" s="4">
        <v>6</v>
      </c>
      <c r="F1509" s="4">
        <v>146</v>
      </c>
      <c r="G1509" s="4" t="s">
        <v>3148</v>
      </c>
      <c r="H1509" s="4" t="s">
        <v>1812</v>
      </c>
      <c r="I1509" s="4">
        <v>67</v>
      </c>
      <c r="J1509" s="4" t="s">
        <v>389</v>
      </c>
      <c r="K1509" s="5" t="s">
        <v>106</v>
      </c>
      <c r="L1509" s="4" t="s">
        <v>3380</v>
      </c>
      <c r="M1509" s="5" t="s">
        <v>1799</v>
      </c>
      <c r="N1509" s="4" t="s">
        <v>108</v>
      </c>
      <c r="O1509" s="5" t="s">
        <v>1800</v>
      </c>
      <c r="P1509" s="4" t="s">
        <v>109</v>
      </c>
      <c r="Q1509" s="5" t="s">
        <v>70</v>
      </c>
      <c r="R1509" s="4">
        <v>70</v>
      </c>
      <c r="S1509" s="4" t="s">
        <v>3143</v>
      </c>
      <c r="T1509" s="4" t="s">
        <v>174</v>
      </c>
      <c r="U1509" s="4" t="s">
        <v>73</v>
      </c>
      <c r="V1509" s="5" t="s">
        <v>1801</v>
      </c>
      <c r="W1509" s="5" t="s">
        <v>1802</v>
      </c>
      <c r="X1509" s="4" t="s">
        <v>3188</v>
      </c>
      <c r="Y1509" s="4">
        <v>9.6200000000000001E-3</v>
      </c>
      <c r="Z1509" s="4">
        <v>0.4</v>
      </c>
      <c r="AA1509" s="4" t="s">
        <v>77</v>
      </c>
      <c r="AB1509" s="4" t="s">
        <v>114</v>
      </c>
      <c r="AC1509" s="228" t="e">
        <f>HYPERLINK(#REF!,"ССЫЛКА")</f>
        <v>#REF!</v>
      </c>
      <c r="AD1509" s="86" t="e">
        <f>ROUNDUP(1.7*#REF!,0)</f>
        <v>#REF!</v>
      </c>
    </row>
    <row r="1510" spans="1:36" s="12" customFormat="1" ht="39.950000000000003" hidden="1" customHeight="1" outlineLevel="1" x14ac:dyDescent="0.25">
      <c r="A1510" s="5"/>
      <c r="B1510" s="113" t="s">
        <v>1796</v>
      </c>
      <c r="C1510" s="189" t="s">
        <v>3122</v>
      </c>
      <c r="D1510" s="100">
        <v>1752</v>
      </c>
      <c r="E1510" s="100">
        <v>12</v>
      </c>
      <c r="F1510" s="100">
        <v>146</v>
      </c>
      <c r="G1510" s="100" t="s">
        <v>3129</v>
      </c>
      <c r="H1510" s="100" t="s">
        <v>3123</v>
      </c>
      <c r="I1510" s="100">
        <v>67</v>
      </c>
      <c r="J1510" s="100" t="s">
        <v>389</v>
      </c>
      <c r="K1510" s="99" t="s">
        <v>106</v>
      </c>
      <c r="L1510" s="100" t="s">
        <v>3380</v>
      </c>
      <c r="M1510" s="99" t="s">
        <v>1799</v>
      </c>
      <c r="N1510" s="100" t="s">
        <v>108</v>
      </c>
      <c r="O1510" s="99" t="s">
        <v>1800</v>
      </c>
      <c r="P1510" s="100" t="s">
        <v>109</v>
      </c>
      <c r="Q1510" s="99" t="s">
        <v>70</v>
      </c>
      <c r="R1510" s="100">
        <v>70</v>
      </c>
      <c r="S1510" s="100" t="s">
        <v>1899</v>
      </c>
      <c r="T1510" s="100" t="s">
        <v>174</v>
      </c>
      <c r="U1510" s="100" t="s">
        <v>73</v>
      </c>
      <c r="V1510" s="99" t="s">
        <v>1801</v>
      </c>
      <c r="W1510" s="99" t="s">
        <v>1802</v>
      </c>
      <c r="X1510" s="100" t="s">
        <v>1557</v>
      </c>
      <c r="Y1510" s="100">
        <v>9.6200000000000001E-3</v>
      </c>
      <c r="Z1510" s="100">
        <v>0.7</v>
      </c>
      <c r="AA1510" s="100" t="s">
        <v>77</v>
      </c>
      <c r="AB1510" s="100" t="s">
        <v>114</v>
      </c>
      <c r="AC1510" s="229" t="e">
        <f>HYPERLINK(#REF!,"ССЫЛКА")</f>
        <v>#REF!</v>
      </c>
      <c r="AD1510" s="86" t="e">
        <f>ROUNDUP(1.7*#REF!,0)</f>
        <v>#REF!</v>
      </c>
    </row>
    <row r="1511" spans="1:36" s="12" customFormat="1" ht="39.950000000000003" hidden="1" customHeight="1" outlineLevel="1" x14ac:dyDescent="0.25">
      <c r="A1511" s="5"/>
      <c r="B1511" s="21" t="s">
        <v>1796</v>
      </c>
      <c r="C1511" s="157" t="s">
        <v>3140</v>
      </c>
      <c r="D1511" s="4">
        <v>1752</v>
      </c>
      <c r="E1511" s="4">
        <v>12</v>
      </c>
      <c r="F1511" s="4">
        <v>146</v>
      </c>
      <c r="G1511" s="4" t="s">
        <v>3149</v>
      </c>
      <c r="H1511" s="4" t="s">
        <v>1805</v>
      </c>
      <c r="I1511" s="4">
        <v>67</v>
      </c>
      <c r="J1511" s="4" t="s">
        <v>389</v>
      </c>
      <c r="K1511" s="5" t="s">
        <v>106</v>
      </c>
      <c r="L1511" s="4" t="s">
        <v>3380</v>
      </c>
      <c r="M1511" s="5" t="s">
        <v>1799</v>
      </c>
      <c r="N1511" s="4" t="s">
        <v>108</v>
      </c>
      <c r="O1511" s="5" t="s">
        <v>1800</v>
      </c>
      <c r="P1511" s="4" t="s">
        <v>109</v>
      </c>
      <c r="Q1511" s="5" t="s">
        <v>70</v>
      </c>
      <c r="R1511" s="4">
        <v>70</v>
      </c>
      <c r="S1511" s="4" t="s">
        <v>1899</v>
      </c>
      <c r="T1511" s="4" t="s">
        <v>174</v>
      </c>
      <c r="U1511" s="4" t="s">
        <v>73</v>
      </c>
      <c r="V1511" s="5" t="s">
        <v>1801</v>
      </c>
      <c r="W1511" s="5" t="s">
        <v>1802</v>
      </c>
      <c r="X1511" s="4" t="s">
        <v>1557</v>
      </c>
      <c r="Y1511" s="4">
        <v>9.6200000000000001E-3</v>
      </c>
      <c r="Z1511" s="4">
        <v>0.7</v>
      </c>
      <c r="AA1511" s="4" t="s">
        <v>77</v>
      </c>
      <c r="AB1511" s="4" t="s">
        <v>114</v>
      </c>
      <c r="AC1511" s="228" t="e">
        <f>HYPERLINK(#REF!,"ССЫЛКА")</f>
        <v>#REF!</v>
      </c>
      <c r="AD1511" s="86" t="e">
        <f>ROUNDUP(1.7*#REF!,0)</f>
        <v>#REF!</v>
      </c>
    </row>
    <row r="1512" spans="1:36" s="12" customFormat="1" ht="39.950000000000003" hidden="1" customHeight="1" outlineLevel="1" x14ac:dyDescent="0.25">
      <c r="A1512" s="5"/>
      <c r="B1512" s="113" t="s">
        <v>1796</v>
      </c>
      <c r="C1512" s="189" t="s">
        <v>3141</v>
      </c>
      <c r="D1512" s="100">
        <v>1752</v>
      </c>
      <c r="E1512" s="100">
        <v>12</v>
      </c>
      <c r="F1512" s="100">
        <v>146</v>
      </c>
      <c r="G1512" s="100" t="s">
        <v>3150</v>
      </c>
      <c r="H1512" s="100" t="s">
        <v>1756</v>
      </c>
      <c r="I1512" s="100">
        <v>67</v>
      </c>
      <c r="J1512" s="100" t="s">
        <v>389</v>
      </c>
      <c r="K1512" s="99" t="s">
        <v>106</v>
      </c>
      <c r="L1512" s="100" t="s">
        <v>3380</v>
      </c>
      <c r="M1512" s="99" t="s">
        <v>1799</v>
      </c>
      <c r="N1512" s="100" t="s">
        <v>108</v>
      </c>
      <c r="O1512" s="99" t="s">
        <v>1800</v>
      </c>
      <c r="P1512" s="100" t="s">
        <v>109</v>
      </c>
      <c r="Q1512" s="99" t="s">
        <v>70</v>
      </c>
      <c r="R1512" s="100">
        <v>70</v>
      </c>
      <c r="S1512" s="100" t="s">
        <v>1899</v>
      </c>
      <c r="T1512" s="100" t="s">
        <v>174</v>
      </c>
      <c r="U1512" s="100" t="s">
        <v>73</v>
      </c>
      <c r="V1512" s="99" t="s">
        <v>1801</v>
      </c>
      <c r="W1512" s="99" t="s">
        <v>1802</v>
      </c>
      <c r="X1512" s="100" t="s">
        <v>1557</v>
      </c>
      <c r="Y1512" s="100">
        <v>9.6200000000000001E-3</v>
      </c>
      <c r="Z1512" s="100">
        <v>0.7</v>
      </c>
      <c r="AA1512" s="100" t="s">
        <v>77</v>
      </c>
      <c r="AB1512" s="100" t="s">
        <v>114</v>
      </c>
      <c r="AC1512" s="229" t="e">
        <f>HYPERLINK(#REF!,"ССЫЛКА")</f>
        <v>#REF!</v>
      </c>
      <c r="AD1512" s="86" t="e">
        <f>ROUNDUP(1.7*#REF!,0)</f>
        <v>#REF!</v>
      </c>
    </row>
    <row r="1513" spans="1:36" s="12" customFormat="1" ht="39.950000000000003" hidden="1" customHeight="1" outlineLevel="1" x14ac:dyDescent="0.25">
      <c r="A1513" s="5"/>
      <c r="B1513" s="21" t="s">
        <v>1796</v>
      </c>
      <c r="C1513" s="157" t="s">
        <v>3142</v>
      </c>
      <c r="D1513" s="4">
        <v>1752</v>
      </c>
      <c r="E1513" s="4">
        <v>12</v>
      </c>
      <c r="F1513" s="4">
        <v>146</v>
      </c>
      <c r="G1513" s="4" t="s">
        <v>3151</v>
      </c>
      <c r="H1513" s="4" t="s">
        <v>1577</v>
      </c>
      <c r="I1513" s="4">
        <v>67</v>
      </c>
      <c r="J1513" s="4" t="s">
        <v>389</v>
      </c>
      <c r="K1513" s="5" t="s">
        <v>106</v>
      </c>
      <c r="L1513" s="4" t="s">
        <v>3380</v>
      </c>
      <c r="M1513" s="5" t="s">
        <v>1799</v>
      </c>
      <c r="N1513" s="4" t="s">
        <v>108</v>
      </c>
      <c r="O1513" s="5" t="s">
        <v>1800</v>
      </c>
      <c r="P1513" s="4" t="s">
        <v>109</v>
      </c>
      <c r="Q1513" s="5" t="s">
        <v>70</v>
      </c>
      <c r="R1513" s="4">
        <v>70</v>
      </c>
      <c r="S1513" s="4" t="s">
        <v>1899</v>
      </c>
      <c r="T1513" s="4" t="s">
        <v>174</v>
      </c>
      <c r="U1513" s="4" t="s">
        <v>73</v>
      </c>
      <c r="V1513" s="5" t="s">
        <v>1801</v>
      </c>
      <c r="W1513" s="5" t="s">
        <v>1802</v>
      </c>
      <c r="X1513" s="4" t="s">
        <v>1557</v>
      </c>
      <c r="Y1513" s="4">
        <v>9.6200000000000001E-3</v>
      </c>
      <c r="Z1513" s="4">
        <v>0.7</v>
      </c>
      <c r="AA1513" s="4" t="s">
        <v>77</v>
      </c>
      <c r="AB1513" s="4" t="s">
        <v>114</v>
      </c>
      <c r="AC1513" s="228" t="e">
        <f>HYPERLINK(#REF!,"ССЫЛКА")</f>
        <v>#REF!</v>
      </c>
      <c r="AD1513" s="86" t="e">
        <f>ROUNDUP(1.7*#REF!,0)</f>
        <v>#REF!</v>
      </c>
      <c r="AE1513" s="4"/>
      <c r="AF1513" s="4"/>
      <c r="AG1513" s="4"/>
      <c r="AH1513" s="4"/>
      <c r="AI1513" s="4"/>
      <c r="AJ1513" s="4"/>
    </row>
    <row r="1514" spans="1:36" s="12" customFormat="1" ht="39.950000000000003" hidden="1" customHeight="1" outlineLevel="1" x14ac:dyDescent="0.25">
      <c r="A1514" s="5"/>
      <c r="B1514" s="113" t="s">
        <v>1796</v>
      </c>
      <c r="C1514" s="189" t="s">
        <v>3229</v>
      </c>
      <c r="D1514" s="100">
        <v>1752</v>
      </c>
      <c r="E1514" s="100">
        <v>12</v>
      </c>
      <c r="F1514" s="100">
        <v>146</v>
      </c>
      <c r="G1514" s="100" t="s">
        <v>3152</v>
      </c>
      <c r="H1514" s="100" t="s">
        <v>1812</v>
      </c>
      <c r="I1514" s="100">
        <v>67</v>
      </c>
      <c r="J1514" s="100" t="s">
        <v>389</v>
      </c>
      <c r="K1514" s="99" t="s">
        <v>106</v>
      </c>
      <c r="L1514" s="100" t="s">
        <v>3380</v>
      </c>
      <c r="M1514" s="99" t="s">
        <v>1799</v>
      </c>
      <c r="N1514" s="100" t="s">
        <v>108</v>
      </c>
      <c r="O1514" s="99" t="s">
        <v>1800</v>
      </c>
      <c r="P1514" s="100" t="s">
        <v>109</v>
      </c>
      <c r="Q1514" s="99" t="s">
        <v>70</v>
      </c>
      <c r="R1514" s="100">
        <v>70</v>
      </c>
      <c r="S1514" s="100" t="s">
        <v>1899</v>
      </c>
      <c r="T1514" s="100" t="s">
        <v>174</v>
      </c>
      <c r="U1514" s="100" t="s">
        <v>73</v>
      </c>
      <c r="V1514" s="99" t="s">
        <v>1801</v>
      </c>
      <c r="W1514" s="99" t="s">
        <v>1802</v>
      </c>
      <c r="X1514" s="100" t="s">
        <v>1557</v>
      </c>
      <c r="Y1514" s="100">
        <v>9.6200000000000001E-3</v>
      </c>
      <c r="Z1514" s="100">
        <v>0.7</v>
      </c>
      <c r="AA1514" s="100" t="s">
        <v>77</v>
      </c>
      <c r="AB1514" s="100" t="s">
        <v>114</v>
      </c>
      <c r="AC1514" s="229" t="e">
        <f>HYPERLINK(#REF!,"ССЫЛКА")</f>
        <v>#REF!</v>
      </c>
      <c r="AD1514" s="86" t="e">
        <f>ROUNDUP(1.7*#REF!,0)</f>
        <v>#REF!</v>
      </c>
    </row>
    <row r="1515" spans="1:36" s="12" customFormat="1" ht="39.950000000000003" hidden="1" customHeight="1" outlineLevel="1" x14ac:dyDescent="0.25">
      <c r="A1515" s="5"/>
      <c r="B1515" s="21" t="s">
        <v>1796</v>
      </c>
      <c r="C1515" s="157" t="s">
        <v>1797</v>
      </c>
      <c r="D1515" s="4">
        <v>3670</v>
      </c>
      <c r="E1515" s="4">
        <v>25</v>
      </c>
      <c r="F1515" s="4">
        <v>146</v>
      </c>
      <c r="G1515" s="4" t="s">
        <v>1798</v>
      </c>
      <c r="H1515" s="4" t="s">
        <v>138</v>
      </c>
      <c r="I1515" s="4">
        <v>67</v>
      </c>
      <c r="J1515" s="4" t="s">
        <v>105</v>
      </c>
      <c r="K1515" s="5" t="s">
        <v>106</v>
      </c>
      <c r="L1515" s="4" t="s">
        <v>3380</v>
      </c>
      <c r="M1515" s="5" t="s">
        <v>1799</v>
      </c>
      <c r="N1515" s="4" t="s">
        <v>108</v>
      </c>
      <c r="O1515" s="5" t="s">
        <v>1800</v>
      </c>
      <c r="P1515" s="4" t="s">
        <v>109</v>
      </c>
      <c r="Q1515" s="5" t="s">
        <v>70</v>
      </c>
      <c r="R1515" s="4">
        <v>70</v>
      </c>
      <c r="S1515" s="4" t="s">
        <v>1779</v>
      </c>
      <c r="T1515" s="4" t="s">
        <v>174</v>
      </c>
      <c r="U1515" s="4" t="s">
        <v>73</v>
      </c>
      <c r="V1515" s="5" t="s">
        <v>1801</v>
      </c>
      <c r="W1515" s="5" t="s">
        <v>1802</v>
      </c>
      <c r="X1515" s="4" t="s">
        <v>1561</v>
      </c>
      <c r="Y1515" s="4">
        <v>9.6200000000000001E-3</v>
      </c>
      <c r="Z1515" s="4">
        <v>1.3</v>
      </c>
      <c r="AA1515" s="4" t="s">
        <v>77</v>
      </c>
      <c r="AB1515" s="4" t="s">
        <v>114</v>
      </c>
      <c r="AC1515" s="228" t="e">
        <f>HYPERLINK(#REF!,"ССЫЛКА")</f>
        <v>#REF!</v>
      </c>
      <c r="AD1515" s="86" t="e">
        <f>ROUNDUP(1.7*#REF!,0)</f>
        <v>#REF!</v>
      </c>
    </row>
    <row r="1516" spans="1:36" s="12" customFormat="1" ht="39.950000000000003" hidden="1" customHeight="1" outlineLevel="1" x14ac:dyDescent="0.25">
      <c r="A1516" s="5"/>
      <c r="B1516" s="113" t="s">
        <v>1796</v>
      </c>
      <c r="C1516" s="189" t="s">
        <v>3124</v>
      </c>
      <c r="D1516" s="100">
        <v>3670</v>
      </c>
      <c r="E1516" s="100">
        <v>25</v>
      </c>
      <c r="F1516" s="100">
        <v>146</v>
      </c>
      <c r="G1516" s="100" t="s">
        <v>3130</v>
      </c>
      <c r="H1516" s="100" t="s">
        <v>3123</v>
      </c>
      <c r="I1516" s="100">
        <v>67</v>
      </c>
      <c r="J1516" s="100" t="s">
        <v>105</v>
      </c>
      <c r="K1516" s="99" t="s">
        <v>106</v>
      </c>
      <c r="L1516" s="100" t="s">
        <v>3380</v>
      </c>
      <c r="M1516" s="99" t="s">
        <v>1799</v>
      </c>
      <c r="N1516" s="100" t="s">
        <v>108</v>
      </c>
      <c r="O1516" s="99" t="s">
        <v>1800</v>
      </c>
      <c r="P1516" s="100" t="s">
        <v>109</v>
      </c>
      <c r="Q1516" s="99" t="s">
        <v>70</v>
      </c>
      <c r="R1516" s="100">
        <v>70</v>
      </c>
      <c r="S1516" s="100" t="s">
        <v>1779</v>
      </c>
      <c r="T1516" s="100" t="s">
        <v>174</v>
      </c>
      <c r="U1516" s="100" t="s">
        <v>73</v>
      </c>
      <c r="V1516" s="99" t="s">
        <v>1801</v>
      </c>
      <c r="W1516" s="99" t="s">
        <v>1802</v>
      </c>
      <c r="X1516" s="100" t="s">
        <v>1561</v>
      </c>
      <c r="Y1516" s="100">
        <v>9.6200000000000001E-3</v>
      </c>
      <c r="Z1516" s="100">
        <v>1.3</v>
      </c>
      <c r="AA1516" s="100" t="s">
        <v>77</v>
      </c>
      <c r="AB1516" s="100" t="s">
        <v>114</v>
      </c>
      <c r="AC1516" s="229" t="e">
        <f>HYPERLINK(#REF!,"ССЫЛКА")</f>
        <v>#REF!</v>
      </c>
      <c r="AD1516" s="86" t="e">
        <f>ROUNDUP(1.7*#REF!,0)</f>
        <v>#REF!</v>
      </c>
    </row>
    <row r="1517" spans="1:36" s="12" customFormat="1" ht="39.950000000000003" hidden="1" customHeight="1" outlineLevel="1" x14ac:dyDescent="0.25">
      <c r="A1517" s="5"/>
      <c r="B1517" s="21" t="s">
        <v>1796</v>
      </c>
      <c r="C1517" s="157" t="s">
        <v>1803</v>
      </c>
      <c r="D1517" s="4">
        <v>3670</v>
      </c>
      <c r="E1517" s="4">
        <v>25</v>
      </c>
      <c r="F1517" s="4">
        <v>146</v>
      </c>
      <c r="G1517" s="4" t="s">
        <v>1804</v>
      </c>
      <c r="H1517" s="4" t="s">
        <v>1805</v>
      </c>
      <c r="I1517" s="4">
        <v>67</v>
      </c>
      <c r="J1517" s="4" t="s">
        <v>105</v>
      </c>
      <c r="K1517" s="5" t="s">
        <v>106</v>
      </c>
      <c r="L1517" s="4" t="s">
        <v>3380</v>
      </c>
      <c r="M1517" s="5" t="s">
        <v>1799</v>
      </c>
      <c r="N1517" s="4" t="s">
        <v>108</v>
      </c>
      <c r="O1517" s="5" t="s">
        <v>1800</v>
      </c>
      <c r="P1517" s="4" t="s">
        <v>109</v>
      </c>
      <c r="Q1517" s="5" t="s">
        <v>70</v>
      </c>
      <c r="R1517" s="4">
        <v>70</v>
      </c>
      <c r="S1517" s="4" t="s">
        <v>1779</v>
      </c>
      <c r="T1517" s="4" t="s">
        <v>174</v>
      </c>
      <c r="U1517" s="4" t="s">
        <v>73</v>
      </c>
      <c r="V1517" s="5" t="s">
        <v>1801</v>
      </c>
      <c r="W1517" s="5" t="s">
        <v>1802</v>
      </c>
      <c r="X1517" s="4" t="s">
        <v>1561</v>
      </c>
      <c r="Y1517" s="4">
        <v>9.6200000000000001E-3</v>
      </c>
      <c r="Z1517" s="4">
        <v>1.3</v>
      </c>
      <c r="AA1517" s="4" t="s">
        <v>77</v>
      </c>
      <c r="AB1517" s="4" t="s">
        <v>114</v>
      </c>
      <c r="AC1517" s="228" t="e">
        <f>HYPERLINK(#REF!,"ССЫЛКА")</f>
        <v>#REF!</v>
      </c>
      <c r="AD1517" s="86" t="e">
        <f>ROUNDUP(1.7*#REF!,0)</f>
        <v>#REF!</v>
      </c>
    </row>
    <row r="1518" spans="1:36" s="12" customFormat="1" ht="39.950000000000003" hidden="1" customHeight="1" outlineLevel="1" x14ac:dyDescent="0.25">
      <c r="A1518" s="5"/>
      <c r="B1518" s="113" t="s">
        <v>1796</v>
      </c>
      <c r="C1518" s="189" t="s">
        <v>1806</v>
      </c>
      <c r="D1518" s="100">
        <v>3670</v>
      </c>
      <c r="E1518" s="100">
        <v>25</v>
      </c>
      <c r="F1518" s="100">
        <v>146</v>
      </c>
      <c r="G1518" s="100" t="s">
        <v>1807</v>
      </c>
      <c r="H1518" s="100" t="s">
        <v>1756</v>
      </c>
      <c r="I1518" s="100">
        <v>67</v>
      </c>
      <c r="J1518" s="100" t="s">
        <v>105</v>
      </c>
      <c r="K1518" s="99" t="s">
        <v>106</v>
      </c>
      <c r="L1518" s="100" t="s">
        <v>3380</v>
      </c>
      <c r="M1518" s="99" t="s">
        <v>1799</v>
      </c>
      <c r="N1518" s="100" t="s">
        <v>108</v>
      </c>
      <c r="O1518" s="99" t="s">
        <v>1800</v>
      </c>
      <c r="P1518" s="100" t="s">
        <v>109</v>
      </c>
      <c r="Q1518" s="99" t="s">
        <v>70</v>
      </c>
      <c r="R1518" s="100">
        <v>70</v>
      </c>
      <c r="S1518" s="100" t="s">
        <v>1779</v>
      </c>
      <c r="T1518" s="100" t="s">
        <v>174</v>
      </c>
      <c r="U1518" s="100" t="s">
        <v>73</v>
      </c>
      <c r="V1518" s="99" t="s">
        <v>1801</v>
      </c>
      <c r="W1518" s="99" t="s">
        <v>1802</v>
      </c>
      <c r="X1518" s="100" t="s">
        <v>1561</v>
      </c>
      <c r="Y1518" s="100">
        <v>9.6200000000000001E-3</v>
      </c>
      <c r="Z1518" s="100">
        <v>1.3</v>
      </c>
      <c r="AA1518" s="100" t="s">
        <v>77</v>
      </c>
      <c r="AB1518" s="100" t="s">
        <v>114</v>
      </c>
      <c r="AC1518" s="229" t="e">
        <f>HYPERLINK(#REF!,"ССЫЛКА")</f>
        <v>#REF!</v>
      </c>
      <c r="AD1518" s="86" t="e">
        <f>ROUNDUP(1.7*#REF!,0)</f>
        <v>#REF!</v>
      </c>
    </row>
    <row r="1519" spans="1:36" s="12" customFormat="1" ht="39.950000000000003" hidden="1" customHeight="1" outlineLevel="1" x14ac:dyDescent="0.25">
      <c r="A1519" s="5"/>
      <c r="B1519" s="21" t="s">
        <v>1796</v>
      </c>
      <c r="C1519" s="157" t="s">
        <v>1808</v>
      </c>
      <c r="D1519" s="4">
        <v>3670</v>
      </c>
      <c r="E1519" s="4">
        <v>25</v>
      </c>
      <c r="F1519" s="4">
        <v>146</v>
      </c>
      <c r="G1519" s="4" t="s">
        <v>1809</v>
      </c>
      <c r="H1519" s="4" t="s">
        <v>1577</v>
      </c>
      <c r="I1519" s="4">
        <v>67</v>
      </c>
      <c r="J1519" s="4" t="s">
        <v>105</v>
      </c>
      <c r="K1519" s="5" t="s">
        <v>106</v>
      </c>
      <c r="L1519" s="4" t="s">
        <v>3380</v>
      </c>
      <c r="M1519" s="5" t="s">
        <v>1799</v>
      </c>
      <c r="N1519" s="4" t="s">
        <v>108</v>
      </c>
      <c r="O1519" s="5" t="s">
        <v>1800</v>
      </c>
      <c r="P1519" s="4" t="s">
        <v>109</v>
      </c>
      <c r="Q1519" s="5" t="s">
        <v>70</v>
      </c>
      <c r="R1519" s="4">
        <v>70</v>
      </c>
      <c r="S1519" s="4" t="s">
        <v>1779</v>
      </c>
      <c r="T1519" s="4" t="s">
        <v>174</v>
      </c>
      <c r="U1519" s="4" t="s">
        <v>73</v>
      </c>
      <c r="V1519" s="5" t="s">
        <v>1801</v>
      </c>
      <c r="W1519" s="5" t="s">
        <v>1802</v>
      </c>
      <c r="X1519" s="4" t="s">
        <v>1561</v>
      </c>
      <c r="Y1519" s="4">
        <v>9.6200000000000001E-3</v>
      </c>
      <c r="Z1519" s="4">
        <v>1.3</v>
      </c>
      <c r="AA1519" s="4" t="s">
        <v>77</v>
      </c>
      <c r="AB1519" s="4" t="s">
        <v>114</v>
      </c>
      <c r="AC1519" s="228" t="e">
        <f>HYPERLINK(#REF!,"ССЫЛКА")</f>
        <v>#REF!</v>
      </c>
      <c r="AD1519" s="86" t="e">
        <f>ROUNDUP(1.7*#REF!,0)</f>
        <v>#REF!</v>
      </c>
    </row>
    <row r="1520" spans="1:36" s="12" customFormat="1" ht="39.950000000000003" hidden="1" customHeight="1" outlineLevel="1" x14ac:dyDescent="0.25">
      <c r="A1520" s="5"/>
      <c r="B1520" s="113" t="s">
        <v>1796</v>
      </c>
      <c r="C1520" s="189" t="s">
        <v>1810</v>
      </c>
      <c r="D1520" s="100">
        <v>3670</v>
      </c>
      <c r="E1520" s="100">
        <v>25</v>
      </c>
      <c r="F1520" s="100">
        <v>146</v>
      </c>
      <c r="G1520" s="100" t="s">
        <v>1811</v>
      </c>
      <c r="H1520" s="100" t="s">
        <v>1812</v>
      </c>
      <c r="I1520" s="100">
        <v>67</v>
      </c>
      <c r="J1520" s="100" t="s">
        <v>105</v>
      </c>
      <c r="K1520" s="99" t="s">
        <v>106</v>
      </c>
      <c r="L1520" s="100" t="s">
        <v>3380</v>
      </c>
      <c r="M1520" s="99" t="s">
        <v>1799</v>
      </c>
      <c r="N1520" s="100" t="s">
        <v>108</v>
      </c>
      <c r="O1520" s="99" t="s">
        <v>1800</v>
      </c>
      <c r="P1520" s="100" t="s">
        <v>109</v>
      </c>
      <c r="Q1520" s="99" t="s">
        <v>70</v>
      </c>
      <c r="R1520" s="100">
        <v>70</v>
      </c>
      <c r="S1520" s="100" t="s">
        <v>1779</v>
      </c>
      <c r="T1520" s="100" t="s">
        <v>174</v>
      </c>
      <c r="U1520" s="100" t="s">
        <v>73</v>
      </c>
      <c r="V1520" s="99" t="s">
        <v>1801</v>
      </c>
      <c r="W1520" s="99" t="s">
        <v>1802</v>
      </c>
      <c r="X1520" s="100" t="s">
        <v>1561</v>
      </c>
      <c r="Y1520" s="100">
        <v>9.6200000000000001E-3</v>
      </c>
      <c r="Z1520" s="100">
        <v>1.3</v>
      </c>
      <c r="AA1520" s="100" t="s">
        <v>77</v>
      </c>
      <c r="AB1520" s="100" t="s">
        <v>114</v>
      </c>
      <c r="AC1520" s="229" t="e">
        <f>HYPERLINK(#REF!,"ССЫЛКА")</f>
        <v>#REF!</v>
      </c>
      <c r="AD1520" s="86" t="e">
        <f>ROUNDUP(1.7*#REF!,0)</f>
        <v>#REF!</v>
      </c>
    </row>
    <row r="1521" spans="1:30" s="12" customFormat="1" ht="39.950000000000003" hidden="1" customHeight="1" outlineLevel="1" x14ac:dyDescent="0.25">
      <c r="A1521" s="5"/>
      <c r="B1521" s="21" t="s">
        <v>1796</v>
      </c>
      <c r="C1521" s="157" t="s">
        <v>1813</v>
      </c>
      <c r="D1521" s="4">
        <v>5500</v>
      </c>
      <c r="E1521" s="4">
        <v>38</v>
      </c>
      <c r="F1521" s="4">
        <v>144</v>
      </c>
      <c r="G1521" s="4" t="s">
        <v>1814</v>
      </c>
      <c r="H1521" s="4" t="s">
        <v>138</v>
      </c>
      <c r="I1521" s="4">
        <v>67</v>
      </c>
      <c r="J1521" s="4" t="s">
        <v>105</v>
      </c>
      <c r="K1521" s="5" t="s">
        <v>106</v>
      </c>
      <c r="L1521" s="4" t="s">
        <v>3380</v>
      </c>
      <c r="M1521" s="5" t="s">
        <v>1799</v>
      </c>
      <c r="N1521" s="4" t="s">
        <v>108</v>
      </c>
      <c r="O1521" s="5" t="s">
        <v>1815</v>
      </c>
      <c r="P1521" s="4" t="s">
        <v>109</v>
      </c>
      <c r="Q1521" s="5" t="s">
        <v>70</v>
      </c>
      <c r="R1521" s="4">
        <v>70</v>
      </c>
      <c r="S1521" s="4" t="s">
        <v>1816</v>
      </c>
      <c r="T1521" s="4" t="s">
        <v>174</v>
      </c>
      <c r="U1521" s="4" t="s">
        <v>73</v>
      </c>
      <c r="V1521" s="5" t="s">
        <v>1801</v>
      </c>
      <c r="W1521" s="5" t="s">
        <v>1817</v>
      </c>
      <c r="X1521" s="4" t="s">
        <v>1565</v>
      </c>
      <c r="Y1521" s="4">
        <v>1.3520000000000001E-2</v>
      </c>
      <c r="Z1521" s="4">
        <v>1.7</v>
      </c>
      <c r="AA1521" s="4" t="s">
        <v>77</v>
      </c>
      <c r="AB1521" s="4" t="s">
        <v>114</v>
      </c>
      <c r="AC1521" s="228" t="e">
        <f>HYPERLINK(#REF!,"ССЫЛКА")</f>
        <v>#REF!</v>
      </c>
      <c r="AD1521" s="86" t="e">
        <f>ROUNDUP(1.7*#REF!,0)</f>
        <v>#REF!</v>
      </c>
    </row>
    <row r="1522" spans="1:30" s="12" customFormat="1" ht="39.950000000000003" hidden="1" customHeight="1" outlineLevel="1" x14ac:dyDescent="0.25">
      <c r="A1522" s="5"/>
      <c r="B1522" s="113" t="s">
        <v>1796</v>
      </c>
      <c r="C1522" s="189" t="s">
        <v>3125</v>
      </c>
      <c r="D1522" s="100">
        <v>5500</v>
      </c>
      <c r="E1522" s="100">
        <v>38</v>
      </c>
      <c r="F1522" s="100">
        <v>144</v>
      </c>
      <c r="G1522" s="100" t="s">
        <v>3131</v>
      </c>
      <c r="H1522" s="100" t="s">
        <v>3123</v>
      </c>
      <c r="I1522" s="100">
        <v>67</v>
      </c>
      <c r="J1522" s="100" t="s">
        <v>105</v>
      </c>
      <c r="K1522" s="99" t="s">
        <v>106</v>
      </c>
      <c r="L1522" s="100" t="s">
        <v>3380</v>
      </c>
      <c r="M1522" s="99" t="s">
        <v>1799</v>
      </c>
      <c r="N1522" s="100" t="s">
        <v>108</v>
      </c>
      <c r="O1522" s="99" t="s">
        <v>1800</v>
      </c>
      <c r="P1522" s="100" t="s">
        <v>109</v>
      </c>
      <c r="Q1522" s="99" t="s">
        <v>70</v>
      </c>
      <c r="R1522" s="100">
        <v>70</v>
      </c>
      <c r="S1522" s="100" t="s">
        <v>1816</v>
      </c>
      <c r="T1522" s="100" t="s">
        <v>174</v>
      </c>
      <c r="U1522" s="100" t="s">
        <v>73</v>
      </c>
      <c r="V1522" s="99" t="s">
        <v>1801</v>
      </c>
      <c r="W1522" s="99" t="s">
        <v>1817</v>
      </c>
      <c r="X1522" s="100" t="s">
        <v>1565</v>
      </c>
      <c r="Y1522" s="100">
        <v>1.3520000000000001E-2</v>
      </c>
      <c r="Z1522" s="100">
        <v>1.7</v>
      </c>
      <c r="AA1522" s="100" t="s">
        <v>77</v>
      </c>
      <c r="AB1522" s="100" t="s">
        <v>114</v>
      </c>
      <c r="AC1522" s="229" t="e">
        <f>HYPERLINK(#REF!,"ССЫЛКА")</f>
        <v>#REF!</v>
      </c>
      <c r="AD1522" s="86" t="e">
        <f>ROUNDUP(1.7*#REF!,0)</f>
        <v>#REF!</v>
      </c>
    </row>
    <row r="1523" spans="1:30" s="12" customFormat="1" ht="39.950000000000003" hidden="1" customHeight="1" outlineLevel="1" x14ac:dyDescent="0.25">
      <c r="A1523" s="5"/>
      <c r="B1523" s="21" t="s">
        <v>1796</v>
      </c>
      <c r="C1523" s="157" t="s">
        <v>1818</v>
      </c>
      <c r="D1523" s="4">
        <v>5500</v>
      </c>
      <c r="E1523" s="4">
        <v>38</v>
      </c>
      <c r="F1523" s="4">
        <v>144</v>
      </c>
      <c r="G1523" s="4" t="s">
        <v>1819</v>
      </c>
      <c r="H1523" s="4" t="s">
        <v>1805</v>
      </c>
      <c r="I1523" s="4">
        <v>67</v>
      </c>
      <c r="J1523" s="4" t="s">
        <v>105</v>
      </c>
      <c r="K1523" s="5" t="s">
        <v>106</v>
      </c>
      <c r="L1523" s="4" t="s">
        <v>3380</v>
      </c>
      <c r="M1523" s="5" t="s">
        <v>1799</v>
      </c>
      <c r="N1523" s="4" t="s">
        <v>108</v>
      </c>
      <c r="O1523" s="5" t="s">
        <v>1800</v>
      </c>
      <c r="P1523" s="4" t="s">
        <v>109</v>
      </c>
      <c r="Q1523" s="5" t="s">
        <v>70</v>
      </c>
      <c r="R1523" s="4">
        <v>70</v>
      </c>
      <c r="S1523" s="4" t="s">
        <v>1816</v>
      </c>
      <c r="T1523" s="4" t="s">
        <v>174</v>
      </c>
      <c r="U1523" s="4" t="s">
        <v>73</v>
      </c>
      <c r="V1523" s="5" t="s">
        <v>1801</v>
      </c>
      <c r="W1523" s="5" t="s">
        <v>1817</v>
      </c>
      <c r="X1523" s="4" t="s">
        <v>1565</v>
      </c>
      <c r="Y1523" s="4">
        <v>1.3520000000000001E-2</v>
      </c>
      <c r="Z1523" s="4">
        <v>1.7</v>
      </c>
      <c r="AA1523" s="4" t="s">
        <v>77</v>
      </c>
      <c r="AB1523" s="4" t="s">
        <v>114</v>
      </c>
      <c r="AC1523" s="228" t="e">
        <f>HYPERLINK(#REF!,"ССЫЛКА")</f>
        <v>#REF!</v>
      </c>
      <c r="AD1523" s="86" t="e">
        <f>ROUNDUP(1.7*#REF!,0)</f>
        <v>#REF!</v>
      </c>
    </row>
    <row r="1524" spans="1:30" s="12" customFormat="1" ht="39.950000000000003" hidden="1" customHeight="1" outlineLevel="1" x14ac:dyDescent="0.25">
      <c r="A1524" s="5"/>
      <c r="B1524" s="113" t="s">
        <v>1796</v>
      </c>
      <c r="C1524" s="189" t="s">
        <v>1820</v>
      </c>
      <c r="D1524" s="100">
        <v>5500</v>
      </c>
      <c r="E1524" s="100">
        <v>38</v>
      </c>
      <c r="F1524" s="100">
        <v>144</v>
      </c>
      <c r="G1524" s="100" t="s">
        <v>1821</v>
      </c>
      <c r="H1524" s="100" t="s">
        <v>1756</v>
      </c>
      <c r="I1524" s="100">
        <v>67</v>
      </c>
      <c r="J1524" s="100" t="s">
        <v>105</v>
      </c>
      <c r="K1524" s="99" t="s">
        <v>106</v>
      </c>
      <c r="L1524" s="100" t="s">
        <v>3380</v>
      </c>
      <c r="M1524" s="99" t="s">
        <v>1799</v>
      </c>
      <c r="N1524" s="100" t="s">
        <v>108</v>
      </c>
      <c r="O1524" s="99" t="s">
        <v>1800</v>
      </c>
      <c r="P1524" s="100" t="s">
        <v>109</v>
      </c>
      <c r="Q1524" s="99" t="s">
        <v>70</v>
      </c>
      <c r="R1524" s="100">
        <v>70</v>
      </c>
      <c r="S1524" s="100" t="s">
        <v>1816</v>
      </c>
      <c r="T1524" s="100" t="s">
        <v>174</v>
      </c>
      <c r="U1524" s="100" t="s">
        <v>73</v>
      </c>
      <c r="V1524" s="99" t="s">
        <v>1801</v>
      </c>
      <c r="W1524" s="99" t="s">
        <v>1817</v>
      </c>
      <c r="X1524" s="100" t="s">
        <v>1565</v>
      </c>
      <c r="Y1524" s="100">
        <v>1.3520000000000001E-2</v>
      </c>
      <c r="Z1524" s="100">
        <v>1.7</v>
      </c>
      <c r="AA1524" s="100" t="s">
        <v>77</v>
      </c>
      <c r="AB1524" s="100" t="s">
        <v>114</v>
      </c>
      <c r="AC1524" s="229" t="e">
        <f>HYPERLINK(#REF!,"ССЫЛКА")</f>
        <v>#REF!</v>
      </c>
      <c r="AD1524" s="86" t="e">
        <f>ROUNDUP(1.7*#REF!,0)</f>
        <v>#REF!</v>
      </c>
    </row>
    <row r="1525" spans="1:30" s="12" customFormat="1" ht="39.950000000000003" hidden="1" customHeight="1" outlineLevel="1" x14ac:dyDescent="0.25">
      <c r="A1525" s="5"/>
      <c r="B1525" s="21" t="s">
        <v>1796</v>
      </c>
      <c r="C1525" s="157" t="s">
        <v>1822</v>
      </c>
      <c r="D1525" s="4">
        <v>5500</v>
      </c>
      <c r="E1525" s="4">
        <v>38</v>
      </c>
      <c r="F1525" s="4">
        <v>144</v>
      </c>
      <c r="G1525" s="4" t="s">
        <v>1823</v>
      </c>
      <c r="H1525" s="4" t="s">
        <v>1577</v>
      </c>
      <c r="I1525" s="4">
        <v>67</v>
      </c>
      <c r="J1525" s="4" t="s">
        <v>105</v>
      </c>
      <c r="K1525" s="5" t="s">
        <v>106</v>
      </c>
      <c r="L1525" s="4" t="s">
        <v>3380</v>
      </c>
      <c r="M1525" s="5" t="s">
        <v>1799</v>
      </c>
      <c r="N1525" s="4" t="s">
        <v>108</v>
      </c>
      <c r="O1525" s="5" t="s">
        <v>1800</v>
      </c>
      <c r="P1525" s="4" t="s">
        <v>109</v>
      </c>
      <c r="Q1525" s="5" t="s">
        <v>70</v>
      </c>
      <c r="R1525" s="4">
        <v>70</v>
      </c>
      <c r="S1525" s="4" t="s">
        <v>1816</v>
      </c>
      <c r="T1525" s="4" t="s">
        <v>174</v>
      </c>
      <c r="U1525" s="4" t="s">
        <v>73</v>
      </c>
      <c r="V1525" s="5" t="s">
        <v>1801</v>
      </c>
      <c r="W1525" s="5" t="s">
        <v>1817</v>
      </c>
      <c r="X1525" s="4" t="s">
        <v>1565</v>
      </c>
      <c r="Y1525" s="4">
        <v>1.3520000000000001E-2</v>
      </c>
      <c r="Z1525" s="4">
        <v>1.7</v>
      </c>
      <c r="AA1525" s="4" t="s">
        <v>77</v>
      </c>
      <c r="AB1525" s="4" t="s">
        <v>114</v>
      </c>
      <c r="AC1525" s="228" t="e">
        <f>HYPERLINK(#REF!,"ССЫЛКА")</f>
        <v>#REF!</v>
      </c>
      <c r="AD1525" s="86" t="e">
        <f>ROUNDUP(1.7*#REF!,0)</f>
        <v>#REF!</v>
      </c>
    </row>
    <row r="1526" spans="1:30" s="12" customFormat="1" ht="39.950000000000003" hidden="1" customHeight="1" outlineLevel="1" x14ac:dyDescent="0.25">
      <c r="A1526" s="5"/>
      <c r="B1526" s="113" t="s">
        <v>1796</v>
      </c>
      <c r="C1526" s="189" t="s">
        <v>1824</v>
      </c>
      <c r="D1526" s="100">
        <v>5500</v>
      </c>
      <c r="E1526" s="100">
        <v>38</v>
      </c>
      <c r="F1526" s="100">
        <v>144</v>
      </c>
      <c r="G1526" s="100" t="s">
        <v>1825</v>
      </c>
      <c r="H1526" s="100" t="s">
        <v>1812</v>
      </c>
      <c r="I1526" s="100">
        <v>67</v>
      </c>
      <c r="J1526" s="100" t="s">
        <v>105</v>
      </c>
      <c r="K1526" s="99" t="s">
        <v>106</v>
      </c>
      <c r="L1526" s="100" t="s">
        <v>3380</v>
      </c>
      <c r="M1526" s="99" t="s">
        <v>1799</v>
      </c>
      <c r="N1526" s="100" t="s">
        <v>108</v>
      </c>
      <c r="O1526" s="99" t="s">
        <v>1800</v>
      </c>
      <c r="P1526" s="100" t="s">
        <v>109</v>
      </c>
      <c r="Q1526" s="99" t="s">
        <v>70</v>
      </c>
      <c r="R1526" s="100">
        <v>70</v>
      </c>
      <c r="S1526" s="100" t="s">
        <v>1816</v>
      </c>
      <c r="T1526" s="100" t="s">
        <v>174</v>
      </c>
      <c r="U1526" s="100" t="s">
        <v>73</v>
      </c>
      <c r="V1526" s="99" t="s">
        <v>1801</v>
      </c>
      <c r="W1526" s="99" t="s">
        <v>1817</v>
      </c>
      <c r="X1526" s="100" t="s">
        <v>1565</v>
      </c>
      <c r="Y1526" s="100">
        <v>1.3520000000000001E-2</v>
      </c>
      <c r="Z1526" s="100">
        <v>1.7</v>
      </c>
      <c r="AA1526" s="100" t="s">
        <v>77</v>
      </c>
      <c r="AB1526" s="100" t="s">
        <v>114</v>
      </c>
      <c r="AC1526" s="229" t="e">
        <f>HYPERLINK(#REF!,"ССЫЛКА")</f>
        <v>#REF!</v>
      </c>
      <c r="AD1526" s="86" t="e">
        <f>ROUNDUP(1.7*#REF!,0)</f>
        <v>#REF!</v>
      </c>
    </row>
    <row r="1527" spans="1:30" s="12" customFormat="1" ht="39.950000000000003" hidden="1" customHeight="1" outlineLevel="1" x14ac:dyDescent="0.25">
      <c r="A1527" s="5"/>
      <c r="B1527" s="21" t="s">
        <v>1796</v>
      </c>
      <c r="C1527" s="157" t="s">
        <v>1826</v>
      </c>
      <c r="D1527" s="4">
        <v>7340</v>
      </c>
      <c r="E1527" s="4">
        <v>52</v>
      </c>
      <c r="F1527" s="4">
        <v>141</v>
      </c>
      <c r="G1527" s="4" t="s">
        <v>1827</v>
      </c>
      <c r="H1527" s="4" t="s">
        <v>138</v>
      </c>
      <c r="I1527" s="4">
        <v>67</v>
      </c>
      <c r="J1527" s="4" t="s">
        <v>105</v>
      </c>
      <c r="K1527" s="5" t="s">
        <v>106</v>
      </c>
      <c r="L1527" s="4" t="s">
        <v>3380</v>
      </c>
      <c r="M1527" s="5" t="s">
        <v>1799</v>
      </c>
      <c r="N1527" s="4" t="s">
        <v>108</v>
      </c>
      <c r="O1527" s="5" t="s">
        <v>1815</v>
      </c>
      <c r="P1527" s="4" t="s">
        <v>109</v>
      </c>
      <c r="Q1527" s="5" t="s">
        <v>70</v>
      </c>
      <c r="R1527" s="4">
        <v>70</v>
      </c>
      <c r="S1527" s="4" t="s">
        <v>1828</v>
      </c>
      <c r="T1527" s="4" t="s">
        <v>174</v>
      </c>
      <c r="U1527" s="4" t="s">
        <v>73</v>
      </c>
      <c r="V1527" s="5" t="s">
        <v>1801</v>
      </c>
      <c r="W1527" s="5" t="s">
        <v>1817</v>
      </c>
      <c r="X1527" s="4" t="s">
        <v>1569</v>
      </c>
      <c r="Y1527" s="4">
        <v>1.7420000000000001E-2</v>
      </c>
      <c r="Z1527" s="4">
        <v>2.1</v>
      </c>
      <c r="AA1527" s="4" t="s">
        <v>77</v>
      </c>
      <c r="AB1527" s="4" t="s">
        <v>114</v>
      </c>
      <c r="AC1527" s="228" t="e">
        <f>HYPERLINK(#REF!,"ССЫЛКА")</f>
        <v>#REF!</v>
      </c>
      <c r="AD1527" s="86" t="e">
        <f>ROUNDUP(1.7*#REF!,0)</f>
        <v>#REF!</v>
      </c>
    </row>
    <row r="1528" spans="1:30" s="12" customFormat="1" ht="39.950000000000003" hidden="1" customHeight="1" outlineLevel="1" x14ac:dyDescent="0.25">
      <c r="A1528" s="5"/>
      <c r="B1528" s="113" t="s">
        <v>1796</v>
      </c>
      <c r="C1528" s="189" t="s">
        <v>3126</v>
      </c>
      <c r="D1528" s="100">
        <v>7340</v>
      </c>
      <c r="E1528" s="100">
        <v>52</v>
      </c>
      <c r="F1528" s="100">
        <v>141</v>
      </c>
      <c r="G1528" s="100" t="s">
        <v>3132</v>
      </c>
      <c r="H1528" s="100" t="s">
        <v>3123</v>
      </c>
      <c r="I1528" s="100">
        <v>67</v>
      </c>
      <c r="J1528" s="100" t="s">
        <v>105</v>
      </c>
      <c r="K1528" s="99" t="s">
        <v>106</v>
      </c>
      <c r="L1528" s="100" t="s">
        <v>3380</v>
      </c>
      <c r="M1528" s="99" t="s">
        <v>1799</v>
      </c>
      <c r="N1528" s="100" t="s">
        <v>108</v>
      </c>
      <c r="O1528" s="99" t="s">
        <v>1800</v>
      </c>
      <c r="P1528" s="100" t="s">
        <v>109</v>
      </c>
      <c r="Q1528" s="99" t="s">
        <v>70</v>
      </c>
      <c r="R1528" s="100">
        <v>70</v>
      </c>
      <c r="S1528" s="100" t="s">
        <v>1828</v>
      </c>
      <c r="T1528" s="100" t="s">
        <v>174</v>
      </c>
      <c r="U1528" s="100" t="s">
        <v>73</v>
      </c>
      <c r="V1528" s="99" t="s">
        <v>1801</v>
      </c>
      <c r="W1528" s="99" t="s">
        <v>1817</v>
      </c>
      <c r="X1528" s="100" t="s">
        <v>1569</v>
      </c>
      <c r="Y1528" s="100">
        <v>1.7420000000000001E-2</v>
      </c>
      <c r="Z1528" s="100">
        <v>2.1</v>
      </c>
      <c r="AA1528" s="100" t="s">
        <v>77</v>
      </c>
      <c r="AB1528" s="100" t="s">
        <v>114</v>
      </c>
      <c r="AC1528" s="229" t="e">
        <f>HYPERLINK(#REF!,"ССЫЛКА")</f>
        <v>#REF!</v>
      </c>
      <c r="AD1528" s="86" t="e">
        <f>ROUNDUP(1.7*#REF!,0)</f>
        <v>#REF!</v>
      </c>
    </row>
    <row r="1529" spans="1:30" s="12" customFormat="1" ht="39.950000000000003" hidden="1" customHeight="1" outlineLevel="1" x14ac:dyDescent="0.25">
      <c r="A1529" s="5"/>
      <c r="B1529" s="21" t="s">
        <v>1796</v>
      </c>
      <c r="C1529" s="157" t="s">
        <v>1829</v>
      </c>
      <c r="D1529" s="4">
        <v>7340</v>
      </c>
      <c r="E1529" s="4">
        <v>52</v>
      </c>
      <c r="F1529" s="4">
        <v>141</v>
      </c>
      <c r="G1529" s="4" t="s">
        <v>1830</v>
      </c>
      <c r="H1529" s="4" t="s">
        <v>1805</v>
      </c>
      <c r="I1529" s="4">
        <v>67</v>
      </c>
      <c r="J1529" s="4" t="s">
        <v>105</v>
      </c>
      <c r="K1529" s="5" t="s">
        <v>106</v>
      </c>
      <c r="L1529" s="4" t="s">
        <v>3380</v>
      </c>
      <c r="M1529" s="5" t="s">
        <v>1799</v>
      </c>
      <c r="N1529" s="4" t="s">
        <v>108</v>
      </c>
      <c r="O1529" s="5" t="s">
        <v>1800</v>
      </c>
      <c r="P1529" s="4" t="s">
        <v>109</v>
      </c>
      <c r="Q1529" s="5" t="s">
        <v>70</v>
      </c>
      <c r="R1529" s="4">
        <v>70</v>
      </c>
      <c r="S1529" s="4" t="s">
        <v>1828</v>
      </c>
      <c r="T1529" s="4" t="s">
        <v>174</v>
      </c>
      <c r="U1529" s="4" t="s">
        <v>73</v>
      </c>
      <c r="V1529" s="5" t="s">
        <v>1801</v>
      </c>
      <c r="W1529" s="5" t="s">
        <v>1817</v>
      </c>
      <c r="X1529" s="4" t="s">
        <v>1569</v>
      </c>
      <c r="Y1529" s="4">
        <v>1.7420000000000001E-2</v>
      </c>
      <c r="Z1529" s="4">
        <v>2.1</v>
      </c>
      <c r="AA1529" s="4" t="s">
        <v>77</v>
      </c>
      <c r="AB1529" s="4" t="s">
        <v>114</v>
      </c>
      <c r="AC1529" s="228" t="e">
        <f>HYPERLINK(#REF!,"ССЫЛКА")</f>
        <v>#REF!</v>
      </c>
      <c r="AD1529" s="86" t="e">
        <f>ROUNDUP(1.7*#REF!,0)</f>
        <v>#REF!</v>
      </c>
    </row>
    <row r="1530" spans="1:30" s="12" customFormat="1" ht="39.950000000000003" hidden="1" customHeight="1" outlineLevel="1" x14ac:dyDescent="0.25">
      <c r="A1530" s="5"/>
      <c r="B1530" s="113" t="s">
        <v>1796</v>
      </c>
      <c r="C1530" s="189" t="s">
        <v>1831</v>
      </c>
      <c r="D1530" s="100">
        <v>7340</v>
      </c>
      <c r="E1530" s="100">
        <v>52</v>
      </c>
      <c r="F1530" s="100">
        <v>141</v>
      </c>
      <c r="G1530" s="100" t="s">
        <v>1832</v>
      </c>
      <c r="H1530" s="100" t="s">
        <v>1756</v>
      </c>
      <c r="I1530" s="100">
        <v>67</v>
      </c>
      <c r="J1530" s="100" t="s">
        <v>105</v>
      </c>
      <c r="K1530" s="99" t="s">
        <v>106</v>
      </c>
      <c r="L1530" s="100" t="s">
        <v>3380</v>
      </c>
      <c r="M1530" s="99" t="s">
        <v>1799</v>
      </c>
      <c r="N1530" s="100" t="s">
        <v>108</v>
      </c>
      <c r="O1530" s="99" t="s">
        <v>1800</v>
      </c>
      <c r="P1530" s="100" t="s">
        <v>109</v>
      </c>
      <c r="Q1530" s="99" t="s">
        <v>70</v>
      </c>
      <c r="R1530" s="100">
        <v>70</v>
      </c>
      <c r="S1530" s="100" t="s">
        <v>1828</v>
      </c>
      <c r="T1530" s="100" t="s">
        <v>174</v>
      </c>
      <c r="U1530" s="100" t="s">
        <v>73</v>
      </c>
      <c r="V1530" s="99" t="s">
        <v>1801</v>
      </c>
      <c r="W1530" s="99" t="s">
        <v>1817</v>
      </c>
      <c r="X1530" s="100" t="s">
        <v>1569</v>
      </c>
      <c r="Y1530" s="100">
        <v>1.7420000000000001E-2</v>
      </c>
      <c r="Z1530" s="100">
        <v>2.1</v>
      </c>
      <c r="AA1530" s="100" t="s">
        <v>77</v>
      </c>
      <c r="AB1530" s="100" t="s">
        <v>114</v>
      </c>
      <c r="AC1530" s="229" t="e">
        <f>HYPERLINK(#REF!,"ССЫЛКА")</f>
        <v>#REF!</v>
      </c>
      <c r="AD1530" s="86" t="e">
        <f>ROUNDUP(1.7*#REF!,0)</f>
        <v>#REF!</v>
      </c>
    </row>
    <row r="1531" spans="1:30" s="12" customFormat="1" ht="39.950000000000003" hidden="1" customHeight="1" outlineLevel="1" x14ac:dyDescent="0.25">
      <c r="A1531" s="5"/>
      <c r="B1531" s="21" t="s">
        <v>1796</v>
      </c>
      <c r="C1531" s="157" t="s">
        <v>1833</v>
      </c>
      <c r="D1531" s="4">
        <v>7340</v>
      </c>
      <c r="E1531" s="4">
        <v>52</v>
      </c>
      <c r="F1531" s="4">
        <v>141</v>
      </c>
      <c r="G1531" s="4" t="s">
        <v>1834</v>
      </c>
      <c r="H1531" s="4" t="s">
        <v>1577</v>
      </c>
      <c r="I1531" s="4">
        <v>67</v>
      </c>
      <c r="J1531" s="4" t="s">
        <v>105</v>
      </c>
      <c r="K1531" s="5" t="s">
        <v>106</v>
      </c>
      <c r="L1531" s="4" t="s">
        <v>3380</v>
      </c>
      <c r="M1531" s="5" t="s">
        <v>1799</v>
      </c>
      <c r="N1531" s="4" t="s">
        <v>108</v>
      </c>
      <c r="O1531" s="5" t="s">
        <v>1800</v>
      </c>
      <c r="P1531" s="4" t="s">
        <v>109</v>
      </c>
      <c r="Q1531" s="5" t="s">
        <v>70</v>
      </c>
      <c r="R1531" s="4">
        <v>70</v>
      </c>
      <c r="S1531" s="4" t="s">
        <v>1828</v>
      </c>
      <c r="T1531" s="4" t="s">
        <v>174</v>
      </c>
      <c r="U1531" s="4" t="s">
        <v>73</v>
      </c>
      <c r="V1531" s="5" t="s">
        <v>1801</v>
      </c>
      <c r="W1531" s="5" t="s">
        <v>1817</v>
      </c>
      <c r="X1531" s="4" t="s">
        <v>1569</v>
      </c>
      <c r="Y1531" s="4">
        <v>1.7420000000000001E-2</v>
      </c>
      <c r="Z1531" s="4">
        <v>2.1</v>
      </c>
      <c r="AA1531" s="4" t="s">
        <v>77</v>
      </c>
      <c r="AB1531" s="4" t="s">
        <v>114</v>
      </c>
      <c r="AC1531" s="228" t="e">
        <f>HYPERLINK(#REF!,"ССЫЛКА")</f>
        <v>#REF!</v>
      </c>
      <c r="AD1531" s="86" t="e">
        <f>ROUNDUP(1.7*#REF!,0)</f>
        <v>#REF!</v>
      </c>
    </row>
    <row r="1532" spans="1:30" s="12" customFormat="1" ht="39.950000000000003" hidden="1" customHeight="1" outlineLevel="1" x14ac:dyDescent="0.25">
      <c r="A1532" s="5"/>
      <c r="B1532" s="113" t="s">
        <v>1796</v>
      </c>
      <c r="C1532" s="189" t="s">
        <v>1835</v>
      </c>
      <c r="D1532" s="100">
        <v>7340</v>
      </c>
      <c r="E1532" s="100">
        <v>52</v>
      </c>
      <c r="F1532" s="100">
        <v>141</v>
      </c>
      <c r="G1532" s="100" t="s">
        <v>1836</v>
      </c>
      <c r="H1532" s="100" t="s">
        <v>1812</v>
      </c>
      <c r="I1532" s="100">
        <v>67</v>
      </c>
      <c r="J1532" s="100" t="s">
        <v>105</v>
      </c>
      <c r="K1532" s="99" t="s">
        <v>106</v>
      </c>
      <c r="L1532" s="100" t="s">
        <v>3380</v>
      </c>
      <c r="M1532" s="99" t="s">
        <v>1799</v>
      </c>
      <c r="N1532" s="100" t="s">
        <v>108</v>
      </c>
      <c r="O1532" s="99" t="s">
        <v>1800</v>
      </c>
      <c r="P1532" s="100" t="s">
        <v>109</v>
      </c>
      <c r="Q1532" s="99" t="s">
        <v>70</v>
      </c>
      <c r="R1532" s="100">
        <v>70</v>
      </c>
      <c r="S1532" s="100" t="s">
        <v>1828</v>
      </c>
      <c r="T1532" s="100" t="s">
        <v>174</v>
      </c>
      <c r="U1532" s="100" t="s">
        <v>73</v>
      </c>
      <c r="V1532" s="99" t="s">
        <v>1801</v>
      </c>
      <c r="W1532" s="99" t="s">
        <v>1817</v>
      </c>
      <c r="X1532" s="100" t="s">
        <v>1569</v>
      </c>
      <c r="Y1532" s="100">
        <v>1.7420000000000001E-2</v>
      </c>
      <c r="Z1532" s="100">
        <v>2.1</v>
      </c>
      <c r="AA1532" s="100" t="s">
        <v>77</v>
      </c>
      <c r="AB1532" s="100" t="s">
        <v>114</v>
      </c>
      <c r="AC1532" s="229" t="e">
        <f>HYPERLINK(#REF!,"ССЫЛКА")</f>
        <v>#REF!</v>
      </c>
      <c r="AD1532" s="86" t="e">
        <f>ROUNDUP(1.7*#REF!,0)</f>
        <v>#REF!</v>
      </c>
    </row>
    <row r="1533" spans="1:30" s="12" customFormat="1" ht="39.950000000000003" hidden="1" customHeight="1" outlineLevel="1" x14ac:dyDescent="0.25">
      <c r="A1533" s="5"/>
      <c r="B1533" s="21" t="s">
        <v>1796</v>
      </c>
      <c r="C1533" s="157" t="s">
        <v>1837</v>
      </c>
      <c r="D1533" s="4">
        <v>9180</v>
      </c>
      <c r="E1533" s="4">
        <v>65</v>
      </c>
      <c r="F1533" s="4">
        <v>141</v>
      </c>
      <c r="G1533" s="4" t="s">
        <v>1838</v>
      </c>
      <c r="H1533" s="4" t="s">
        <v>138</v>
      </c>
      <c r="I1533" s="4">
        <v>67</v>
      </c>
      <c r="J1533" s="4" t="s">
        <v>105</v>
      </c>
      <c r="K1533" s="5" t="s">
        <v>106</v>
      </c>
      <c r="L1533" s="4" t="s">
        <v>3380</v>
      </c>
      <c r="M1533" s="5" t="s">
        <v>1799</v>
      </c>
      <c r="N1533" s="4" t="s">
        <v>108</v>
      </c>
      <c r="O1533" s="5" t="s">
        <v>1815</v>
      </c>
      <c r="P1533" s="4" t="s">
        <v>109</v>
      </c>
      <c r="Q1533" s="5" t="s">
        <v>70</v>
      </c>
      <c r="R1533" s="4">
        <v>70</v>
      </c>
      <c r="S1533" s="4" t="s">
        <v>1839</v>
      </c>
      <c r="T1533" s="4" t="s">
        <v>174</v>
      </c>
      <c r="U1533" s="4" t="s">
        <v>73</v>
      </c>
      <c r="V1533" s="5" t="s">
        <v>1801</v>
      </c>
      <c r="W1533" s="5" t="s">
        <v>1817</v>
      </c>
      <c r="X1533" s="4" t="s">
        <v>1572</v>
      </c>
      <c r="Y1533" s="4">
        <v>2.1190000000000001E-2</v>
      </c>
      <c r="Z1533" s="4">
        <v>2.5</v>
      </c>
      <c r="AA1533" s="4" t="s">
        <v>77</v>
      </c>
      <c r="AB1533" s="4" t="s">
        <v>114</v>
      </c>
      <c r="AC1533" s="228" t="e">
        <f>HYPERLINK(#REF!,"ССЫЛКА")</f>
        <v>#REF!</v>
      </c>
      <c r="AD1533" s="86" t="e">
        <f>ROUNDUP(1.7*#REF!,0)</f>
        <v>#REF!</v>
      </c>
    </row>
    <row r="1534" spans="1:30" s="12" customFormat="1" ht="39.950000000000003" hidden="1" customHeight="1" outlineLevel="1" x14ac:dyDescent="0.25">
      <c r="A1534" s="5"/>
      <c r="B1534" s="113" t="s">
        <v>1796</v>
      </c>
      <c r="C1534" s="189" t="s">
        <v>3127</v>
      </c>
      <c r="D1534" s="100">
        <v>9180</v>
      </c>
      <c r="E1534" s="100">
        <v>65</v>
      </c>
      <c r="F1534" s="100">
        <v>141</v>
      </c>
      <c r="G1534" s="100" t="s">
        <v>3133</v>
      </c>
      <c r="H1534" s="100" t="s">
        <v>3123</v>
      </c>
      <c r="I1534" s="100">
        <v>67</v>
      </c>
      <c r="J1534" s="100" t="s">
        <v>105</v>
      </c>
      <c r="K1534" s="99" t="s">
        <v>106</v>
      </c>
      <c r="L1534" s="100" t="s">
        <v>3380</v>
      </c>
      <c r="M1534" s="99" t="s">
        <v>1799</v>
      </c>
      <c r="N1534" s="100" t="s">
        <v>108</v>
      </c>
      <c r="O1534" s="99" t="s">
        <v>1800</v>
      </c>
      <c r="P1534" s="100" t="s">
        <v>109</v>
      </c>
      <c r="Q1534" s="99" t="s">
        <v>70</v>
      </c>
      <c r="R1534" s="100">
        <v>70</v>
      </c>
      <c r="S1534" s="100" t="s">
        <v>1839</v>
      </c>
      <c r="T1534" s="100" t="s">
        <v>174</v>
      </c>
      <c r="U1534" s="100" t="s">
        <v>73</v>
      </c>
      <c r="V1534" s="99" t="s">
        <v>1801</v>
      </c>
      <c r="W1534" s="99" t="s">
        <v>1817</v>
      </c>
      <c r="X1534" s="100" t="s">
        <v>1572</v>
      </c>
      <c r="Y1534" s="100">
        <v>2.1190000000000001E-2</v>
      </c>
      <c r="Z1534" s="100">
        <v>2.5</v>
      </c>
      <c r="AA1534" s="100" t="s">
        <v>77</v>
      </c>
      <c r="AB1534" s="100" t="s">
        <v>114</v>
      </c>
      <c r="AC1534" s="229" t="e">
        <f>HYPERLINK(#REF!,"ССЫЛКА")</f>
        <v>#REF!</v>
      </c>
      <c r="AD1534" s="86" t="e">
        <f>ROUNDUP(1.7*#REF!,0)</f>
        <v>#REF!</v>
      </c>
    </row>
    <row r="1535" spans="1:30" s="12" customFormat="1" ht="39.950000000000003" hidden="1" customHeight="1" outlineLevel="1" x14ac:dyDescent="0.25">
      <c r="A1535" s="5"/>
      <c r="B1535" s="21" t="s">
        <v>1796</v>
      </c>
      <c r="C1535" s="157" t="s">
        <v>1840</v>
      </c>
      <c r="D1535" s="4">
        <v>9180</v>
      </c>
      <c r="E1535" s="4">
        <v>65</v>
      </c>
      <c r="F1535" s="4">
        <v>141</v>
      </c>
      <c r="G1535" s="4" t="s">
        <v>1841</v>
      </c>
      <c r="H1535" s="4" t="s">
        <v>1805</v>
      </c>
      <c r="I1535" s="4">
        <v>67</v>
      </c>
      <c r="J1535" s="4" t="s">
        <v>105</v>
      </c>
      <c r="K1535" s="5" t="s">
        <v>106</v>
      </c>
      <c r="L1535" s="4" t="s">
        <v>3380</v>
      </c>
      <c r="M1535" s="5" t="s">
        <v>1799</v>
      </c>
      <c r="N1535" s="4" t="s">
        <v>108</v>
      </c>
      <c r="O1535" s="5" t="s">
        <v>1800</v>
      </c>
      <c r="P1535" s="4" t="s">
        <v>109</v>
      </c>
      <c r="Q1535" s="5" t="s">
        <v>70</v>
      </c>
      <c r="R1535" s="4">
        <v>70</v>
      </c>
      <c r="S1535" s="4" t="s">
        <v>1839</v>
      </c>
      <c r="T1535" s="4" t="s">
        <v>174</v>
      </c>
      <c r="U1535" s="4" t="s">
        <v>73</v>
      </c>
      <c r="V1535" s="5" t="s">
        <v>1801</v>
      </c>
      <c r="W1535" s="5" t="s">
        <v>1817</v>
      </c>
      <c r="X1535" s="4" t="s">
        <v>1572</v>
      </c>
      <c r="Y1535" s="4">
        <v>2.1190000000000001E-2</v>
      </c>
      <c r="Z1535" s="4">
        <v>2.5</v>
      </c>
      <c r="AA1535" s="4" t="s">
        <v>77</v>
      </c>
      <c r="AB1535" s="4" t="s">
        <v>114</v>
      </c>
      <c r="AC1535" s="228" t="e">
        <f>HYPERLINK(#REF!,"ССЫЛКА")</f>
        <v>#REF!</v>
      </c>
      <c r="AD1535" s="88" t="e">
        <f>ROUNDUP(1.7*#REF!,0)</f>
        <v>#REF!</v>
      </c>
    </row>
    <row r="1536" spans="1:30" s="12" customFormat="1" ht="39.950000000000003" hidden="1" customHeight="1" outlineLevel="1" x14ac:dyDescent="0.25">
      <c r="A1536" s="5"/>
      <c r="B1536" s="113" t="s">
        <v>1796</v>
      </c>
      <c r="C1536" s="189" t="s">
        <v>1842</v>
      </c>
      <c r="D1536" s="100">
        <v>9180</v>
      </c>
      <c r="E1536" s="100">
        <v>65</v>
      </c>
      <c r="F1536" s="100">
        <v>141</v>
      </c>
      <c r="G1536" s="100" t="s">
        <v>1843</v>
      </c>
      <c r="H1536" s="100" t="s">
        <v>1756</v>
      </c>
      <c r="I1536" s="100">
        <v>67</v>
      </c>
      <c r="J1536" s="100" t="s">
        <v>105</v>
      </c>
      <c r="K1536" s="99" t="s">
        <v>106</v>
      </c>
      <c r="L1536" s="100" t="s">
        <v>3380</v>
      </c>
      <c r="M1536" s="99" t="s">
        <v>1799</v>
      </c>
      <c r="N1536" s="100" t="s">
        <v>108</v>
      </c>
      <c r="O1536" s="99" t="s">
        <v>1800</v>
      </c>
      <c r="P1536" s="100" t="s">
        <v>109</v>
      </c>
      <c r="Q1536" s="99" t="s">
        <v>70</v>
      </c>
      <c r="R1536" s="100">
        <v>70</v>
      </c>
      <c r="S1536" s="100" t="s">
        <v>1839</v>
      </c>
      <c r="T1536" s="100" t="s">
        <v>174</v>
      </c>
      <c r="U1536" s="100" t="s">
        <v>73</v>
      </c>
      <c r="V1536" s="99" t="s">
        <v>1801</v>
      </c>
      <c r="W1536" s="99" t="s">
        <v>1817</v>
      </c>
      <c r="X1536" s="100" t="s">
        <v>1572</v>
      </c>
      <c r="Y1536" s="100">
        <v>2.1190000000000001E-2</v>
      </c>
      <c r="Z1536" s="100">
        <v>2.5</v>
      </c>
      <c r="AA1536" s="100" t="s">
        <v>77</v>
      </c>
      <c r="AB1536" s="100" t="s">
        <v>114</v>
      </c>
      <c r="AC1536" s="229" t="e">
        <f>HYPERLINK(#REF!,"ССЫЛКА")</f>
        <v>#REF!</v>
      </c>
      <c r="AD1536" s="88" t="e">
        <f>ROUNDUP(1.7*#REF!,0)</f>
        <v>#REF!</v>
      </c>
    </row>
    <row r="1537" spans="1:30" s="12" customFormat="1" ht="39.950000000000003" hidden="1" customHeight="1" outlineLevel="1" x14ac:dyDescent="0.25">
      <c r="A1537" s="5"/>
      <c r="B1537" s="21" t="s">
        <v>1796</v>
      </c>
      <c r="C1537" s="157" t="s">
        <v>1844</v>
      </c>
      <c r="D1537" s="4">
        <v>9180</v>
      </c>
      <c r="E1537" s="4">
        <v>65</v>
      </c>
      <c r="F1537" s="4">
        <v>141</v>
      </c>
      <c r="G1537" s="4" t="s">
        <v>1845</v>
      </c>
      <c r="H1537" s="4" t="s">
        <v>1577</v>
      </c>
      <c r="I1537" s="4">
        <v>67</v>
      </c>
      <c r="J1537" s="4" t="s">
        <v>105</v>
      </c>
      <c r="K1537" s="5" t="s">
        <v>106</v>
      </c>
      <c r="L1537" s="4" t="s">
        <v>3380</v>
      </c>
      <c r="M1537" s="5" t="s">
        <v>1799</v>
      </c>
      <c r="N1537" s="4" t="s">
        <v>108</v>
      </c>
      <c r="O1537" s="5" t="s">
        <v>1800</v>
      </c>
      <c r="P1537" s="4" t="s">
        <v>109</v>
      </c>
      <c r="Q1537" s="5" t="s">
        <v>70</v>
      </c>
      <c r="R1537" s="4">
        <v>70</v>
      </c>
      <c r="S1537" s="4" t="s">
        <v>1839</v>
      </c>
      <c r="T1537" s="4" t="s">
        <v>174</v>
      </c>
      <c r="U1537" s="4" t="s">
        <v>73</v>
      </c>
      <c r="V1537" s="5" t="s">
        <v>1801</v>
      </c>
      <c r="W1537" s="5" t="s">
        <v>1817</v>
      </c>
      <c r="X1537" s="4" t="s">
        <v>1572</v>
      </c>
      <c r="Y1537" s="4">
        <v>2.1190000000000001E-2</v>
      </c>
      <c r="Z1537" s="4">
        <v>2.5</v>
      </c>
      <c r="AA1537" s="4" t="s">
        <v>77</v>
      </c>
      <c r="AB1537" s="4" t="s">
        <v>114</v>
      </c>
      <c r="AC1537" s="228" t="e">
        <f>HYPERLINK(#REF!,"ССЫЛКА")</f>
        <v>#REF!</v>
      </c>
      <c r="AD1537" s="88" t="e">
        <f>ROUNDUP(1.7*#REF!,0)</f>
        <v>#REF!</v>
      </c>
    </row>
    <row r="1538" spans="1:30" s="12" customFormat="1" ht="39.950000000000003" hidden="1" customHeight="1" outlineLevel="1" x14ac:dyDescent="0.25">
      <c r="A1538" s="5"/>
      <c r="B1538" s="113" t="s">
        <v>1796</v>
      </c>
      <c r="C1538" s="189" t="s">
        <v>1846</v>
      </c>
      <c r="D1538" s="100">
        <v>9180</v>
      </c>
      <c r="E1538" s="100">
        <v>65</v>
      </c>
      <c r="F1538" s="100">
        <v>141</v>
      </c>
      <c r="G1538" s="100" t="s">
        <v>1847</v>
      </c>
      <c r="H1538" s="100" t="s">
        <v>1812</v>
      </c>
      <c r="I1538" s="100">
        <v>67</v>
      </c>
      <c r="J1538" s="100" t="s">
        <v>105</v>
      </c>
      <c r="K1538" s="99" t="s">
        <v>106</v>
      </c>
      <c r="L1538" s="100" t="s">
        <v>3380</v>
      </c>
      <c r="M1538" s="99" t="s">
        <v>1799</v>
      </c>
      <c r="N1538" s="100" t="s">
        <v>108</v>
      </c>
      <c r="O1538" s="99" t="s">
        <v>1800</v>
      </c>
      <c r="P1538" s="100" t="s">
        <v>109</v>
      </c>
      <c r="Q1538" s="99" t="s">
        <v>70</v>
      </c>
      <c r="R1538" s="100">
        <v>70</v>
      </c>
      <c r="S1538" s="100" t="s">
        <v>1839</v>
      </c>
      <c r="T1538" s="100" t="s">
        <v>174</v>
      </c>
      <c r="U1538" s="100" t="s">
        <v>73</v>
      </c>
      <c r="V1538" s="99" t="s">
        <v>1801</v>
      </c>
      <c r="W1538" s="99" t="s">
        <v>1817</v>
      </c>
      <c r="X1538" s="100" t="s">
        <v>1572</v>
      </c>
      <c r="Y1538" s="100">
        <v>2.1190000000000001E-2</v>
      </c>
      <c r="Z1538" s="100">
        <v>2.5</v>
      </c>
      <c r="AA1538" s="100" t="s">
        <v>77</v>
      </c>
      <c r="AB1538" s="100" t="s">
        <v>114</v>
      </c>
      <c r="AC1538" s="229" t="e">
        <f>HYPERLINK(#REF!,"ССЫЛКА")</f>
        <v>#REF!</v>
      </c>
      <c r="AD1538" s="88" t="e">
        <f>ROUNDUP(1.7*#REF!,0)</f>
        <v>#REF!</v>
      </c>
    </row>
    <row r="1539" spans="1:30" s="12" customFormat="1" ht="39.950000000000003" hidden="1" customHeight="1" outlineLevel="1" x14ac:dyDescent="0.25">
      <c r="A1539" s="5"/>
      <c r="B1539" s="21" t="s">
        <v>1848</v>
      </c>
      <c r="C1539" s="159" t="s">
        <v>1849</v>
      </c>
      <c r="D1539" s="4">
        <v>4680</v>
      </c>
      <c r="E1539" s="4">
        <v>36</v>
      </c>
      <c r="F1539" s="4">
        <v>130</v>
      </c>
      <c r="G1539" s="4" t="s">
        <v>1850</v>
      </c>
      <c r="H1539" s="4" t="s">
        <v>138</v>
      </c>
      <c r="I1539" s="4">
        <v>67</v>
      </c>
      <c r="J1539" s="4" t="s">
        <v>389</v>
      </c>
      <c r="K1539" s="5" t="s">
        <v>106</v>
      </c>
      <c r="L1539" s="4" t="s">
        <v>3380</v>
      </c>
      <c r="M1539" s="5" t="s">
        <v>568</v>
      </c>
      <c r="N1539" s="4" t="s">
        <v>108</v>
      </c>
      <c r="O1539" s="5" t="s">
        <v>1851</v>
      </c>
      <c r="P1539" s="4" t="s">
        <v>109</v>
      </c>
      <c r="Q1539" s="5" t="s">
        <v>70</v>
      </c>
      <c r="R1539" s="4">
        <v>70</v>
      </c>
      <c r="S1539" s="4" t="s">
        <v>1816</v>
      </c>
      <c r="T1539" s="4" t="s">
        <v>174</v>
      </c>
      <c r="U1539" s="4" t="s">
        <v>73</v>
      </c>
      <c r="V1539" s="5" t="s">
        <v>1852</v>
      </c>
      <c r="W1539" s="5" t="s">
        <v>1556</v>
      </c>
      <c r="X1539" s="4" t="s">
        <v>1853</v>
      </c>
      <c r="Y1539" s="4">
        <v>1.3273874999999999E-2</v>
      </c>
      <c r="Z1539" s="4">
        <v>1.5</v>
      </c>
      <c r="AA1539" s="4" t="s">
        <v>77</v>
      </c>
      <c r="AB1539" s="4" t="s">
        <v>114</v>
      </c>
      <c r="AC1539" s="228" t="e">
        <f>HYPERLINK(#REF!,"ССЫЛКА")</f>
        <v>#REF!</v>
      </c>
      <c r="AD1539" s="88" t="e">
        <f>ROUNDUP(1.7*#REF!,0)</f>
        <v>#REF!</v>
      </c>
    </row>
    <row r="1540" spans="1:30" s="12" customFormat="1" ht="39.950000000000003" hidden="1" customHeight="1" outlineLevel="1" x14ac:dyDescent="0.25">
      <c r="A1540" s="5"/>
      <c r="B1540" s="113" t="s">
        <v>1848</v>
      </c>
      <c r="C1540" s="188" t="s">
        <v>1854</v>
      </c>
      <c r="D1540" s="100">
        <v>4680</v>
      </c>
      <c r="E1540" s="100">
        <v>36</v>
      </c>
      <c r="F1540" s="100">
        <v>130</v>
      </c>
      <c r="G1540" s="100" t="s">
        <v>1855</v>
      </c>
      <c r="H1540" s="100" t="s">
        <v>1805</v>
      </c>
      <c r="I1540" s="100">
        <v>67</v>
      </c>
      <c r="J1540" s="100" t="s">
        <v>389</v>
      </c>
      <c r="K1540" s="99" t="s">
        <v>106</v>
      </c>
      <c r="L1540" s="100" t="s">
        <v>3380</v>
      </c>
      <c r="M1540" s="99" t="s">
        <v>568</v>
      </c>
      <c r="N1540" s="100" t="s">
        <v>108</v>
      </c>
      <c r="O1540" s="99" t="s">
        <v>1800</v>
      </c>
      <c r="P1540" s="100" t="s">
        <v>109</v>
      </c>
      <c r="Q1540" s="99" t="s">
        <v>70</v>
      </c>
      <c r="R1540" s="100">
        <v>70</v>
      </c>
      <c r="S1540" s="100" t="s">
        <v>1816</v>
      </c>
      <c r="T1540" s="100" t="s">
        <v>174</v>
      </c>
      <c r="U1540" s="100" t="s">
        <v>73</v>
      </c>
      <c r="V1540" s="99" t="s">
        <v>1852</v>
      </c>
      <c r="W1540" s="99" t="s">
        <v>1556</v>
      </c>
      <c r="X1540" s="100" t="s">
        <v>1853</v>
      </c>
      <c r="Y1540" s="100">
        <v>1.3273874999999999E-2</v>
      </c>
      <c r="Z1540" s="100">
        <v>1.5</v>
      </c>
      <c r="AA1540" s="100" t="s">
        <v>77</v>
      </c>
      <c r="AB1540" s="100" t="s">
        <v>114</v>
      </c>
      <c r="AC1540" s="229" t="e">
        <f>HYPERLINK(#REF!,"ССЫЛКА")</f>
        <v>#REF!</v>
      </c>
      <c r="AD1540" s="88" t="e">
        <f>ROUNDUP(1.7*#REF!,0)</f>
        <v>#REF!</v>
      </c>
    </row>
    <row r="1541" spans="1:30" s="12" customFormat="1" ht="39.950000000000003" hidden="1" customHeight="1" outlineLevel="1" x14ac:dyDescent="0.25">
      <c r="A1541" s="5"/>
      <c r="B1541" s="23" t="s">
        <v>1848</v>
      </c>
      <c r="C1541" s="80" t="s">
        <v>1856</v>
      </c>
      <c r="D1541" s="12">
        <v>4680</v>
      </c>
      <c r="E1541" s="12">
        <v>36</v>
      </c>
      <c r="F1541" s="12">
        <v>130</v>
      </c>
      <c r="G1541" s="12" t="s">
        <v>1857</v>
      </c>
      <c r="H1541" s="12" t="s">
        <v>1756</v>
      </c>
      <c r="I1541" s="12">
        <v>67</v>
      </c>
      <c r="J1541" s="12" t="s">
        <v>389</v>
      </c>
      <c r="K1541" s="1" t="s">
        <v>106</v>
      </c>
      <c r="L1541" s="12" t="s">
        <v>3380</v>
      </c>
      <c r="M1541" s="1" t="s">
        <v>568</v>
      </c>
      <c r="N1541" s="12" t="s">
        <v>108</v>
      </c>
      <c r="O1541" s="1" t="s">
        <v>1800</v>
      </c>
      <c r="P1541" s="12" t="s">
        <v>109</v>
      </c>
      <c r="Q1541" s="1" t="s">
        <v>70</v>
      </c>
      <c r="R1541" s="12">
        <v>70</v>
      </c>
      <c r="S1541" s="12" t="s">
        <v>1816</v>
      </c>
      <c r="T1541" s="12" t="s">
        <v>174</v>
      </c>
      <c r="U1541" s="12" t="s">
        <v>73</v>
      </c>
      <c r="V1541" s="1" t="s">
        <v>1852</v>
      </c>
      <c r="W1541" s="1" t="s">
        <v>1556</v>
      </c>
      <c r="X1541" s="12" t="s">
        <v>1853</v>
      </c>
      <c r="Y1541" s="12">
        <v>1.3273874999999999E-2</v>
      </c>
      <c r="Z1541" s="12">
        <v>1.5</v>
      </c>
      <c r="AA1541" s="12" t="s">
        <v>77</v>
      </c>
      <c r="AB1541" s="12" t="s">
        <v>114</v>
      </c>
      <c r="AC1541" s="226" t="e">
        <f>HYPERLINK(#REF!,"ССЫЛКА")</f>
        <v>#REF!</v>
      </c>
      <c r="AD1541" s="88" t="e">
        <f>ROUNDUP(1.7*#REF!,0)</f>
        <v>#REF!</v>
      </c>
    </row>
    <row r="1542" spans="1:30" s="12" customFormat="1" ht="39.950000000000003" hidden="1" customHeight="1" outlineLevel="1" x14ac:dyDescent="0.25">
      <c r="A1542" s="5"/>
      <c r="B1542" s="113" t="s">
        <v>1848</v>
      </c>
      <c r="C1542" s="188" t="s">
        <v>1858</v>
      </c>
      <c r="D1542" s="100">
        <v>4680</v>
      </c>
      <c r="E1542" s="100">
        <v>36</v>
      </c>
      <c r="F1542" s="100">
        <v>130</v>
      </c>
      <c r="G1542" s="100" t="s">
        <v>1859</v>
      </c>
      <c r="H1542" s="100" t="s">
        <v>1577</v>
      </c>
      <c r="I1542" s="100">
        <v>67</v>
      </c>
      <c r="J1542" s="100" t="s">
        <v>389</v>
      </c>
      <c r="K1542" s="99" t="s">
        <v>106</v>
      </c>
      <c r="L1542" s="100" t="s">
        <v>3380</v>
      </c>
      <c r="M1542" s="99" t="s">
        <v>568</v>
      </c>
      <c r="N1542" s="100" t="s">
        <v>108</v>
      </c>
      <c r="O1542" s="99" t="s">
        <v>1800</v>
      </c>
      <c r="P1542" s="100" t="s">
        <v>109</v>
      </c>
      <c r="Q1542" s="99" t="s">
        <v>70</v>
      </c>
      <c r="R1542" s="100">
        <v>70</v>
      </c>
      <c r="S1542" s="100" t="s">
        <v>1816</v>
      </c>
      <c r="T1542" s="100" t="s">
        <v>174</v>
      </c>
      <c r="U1542" s="100" t="s">
        <v>73</v>
      </c>
      <c r="V1542" s="99" t="s">
        <v>1852</v>
      </c>
      <c r="W1542" s="99" t="s">
        <v>1556</v>
      </c>
      <c r="X1542" s="100" t="s">
        <v>1853</v>
      </c>
      <c r="Y1542" s="100">
        <v>1.3273874999999999E-2</v>
      </c>
      <c r="Z1542" s="100">
        <v>1.5</v>
      </c>
      <c r="AA1542" s="100" t="s">
        <v>77</v>
      </c>
      <c r="AB1542" s="100" t="s">
        <v>114</v>
      </c>
      <c r="AC1542" s="229" t="e">
        <f>HYPERLINK(#REF!,"ССЫЛКА")</f>
        <v>#REF!</v>
      </c>
      <c r="AD1542" s="88" t="e">
        <f>ROUNDUP(1.7*#REF!,0)</f>
        <v>#REF!</v>
      </c>
    </row>
    <row r="1543" spans="1:30" s="12" customFormat="1" ht="39.950000000000003" hidden="1" customHeight="1" outlineLevel="1" x14ac:dyDescent="0.25">
      <c r="A1543" s="5"/>
      <c r="B1543" s="23" t="s">
        <v>1848</v>
      </c>
      <c r="C1543" s="80" t="s">
        <v>1860</v>
      </c>
      <c r="D1543" s="12">
        <v>4680</v>
      </c>
      <c r="E1543" s="12">
        <v>36</v>
      </c>
      <c r="F1543" s="12">
        <v>130</v>
      </c>
      <c r="G1543" s="12" t="s">
        <v>1861</v>
      </c>
      <c r="H1543" s="12" t="s">
        <v>1812</v>
      </c>
      <c r="I1543" s="12">
        <v>67</v>
      </c>
      <c r="J1543" s="12" t="s">
        <v>389</v>
      </c>
      <c r="K1543" s="1" t="s">
        <v>106</v>
      </c>
      <c r="L1543" s="12" t="s">
        <v>3380</v>
      </c>
      <c r="M1543" s="1" t="s">
        <v>568</v>
      </c>
      <c r="N1543" s="12" t="s">
        <v>108</v>
      </c>
      <c r="O1543" s="1" t="s">
        <v>1800</v>
      </c>
      <c r="P1543" s="12" t="s">
        <v>109</v>
      </c>
      <c r="Q1543" s="1" t="s">
        <v>70</v>
      </c>
      <c r="R1543" s="12">
        <v>70</v>
      </c>
      <c r="S1543" s="12" t="s">
        <v>1816</v>
      </c>
      <c r="T1543" s="12" t="s">
        <v>174</v>
      </c>
      <c r="U1543" s="12" t="s">
        <v>73</v>
      </c>
      <c r="V1543" s="1" t="s">
        <v>1852</v>
      </c>
      <c r="W1543" s="1" t="s">
        <v>1556</v>
      </c>
      <c r="X1543" s="12" t="s">
        <v>1853</v>
      </c>
      <c r="Y1543" s="12">
        <v>1.3273874999999999E-2</v>
      </c>
      <c r="Z1543" s="12">
        <v>1.5</v>
      </c>
      <c r="AA1543" s="12" t="s">
        <v>77</v>
      </c>
      <c r="AB1543" s="12" t="s">
        <v>114</v>
      </c>
      <c r="AC1543" s="226" t="e">
        <f>HYPERLINK(#REF!,"ССЫЛКА")</f>
        <v>#REF!</v>
      </c>
      <c r="AD1543" s="88" t="e">
        <f>ROUNDUP(1.7*#REF!,0)</f>
        <v>#REF!</v>
      </c>
    </row>
    <row r="1544" spans="1:30" s="12" customFormat="1" ht="39.950000000000003" hidden="1" customHeight="1" outlineLevel="1" x14ac:dyDescent="0.25">
      <c r="A1544" s="5"/>
      <c r="B1544" s="113" t="s">
        <v>1848</v>
      </c>
      <c r="C1544" s="188" t="s">
        <v>1862</v>
      </c>
      <c r="D1544" s="100">
        <v>3120</v>
      </c>
      <c r="E1544" s="100">
        <v>24</v>
      </c>
      <c r="F1544" s="100">
        <v>130</v>
      </c>
      <c r="G1544" s="100" t="s">
        <v>1863</v>
      </c>
      <c r="H1544" s="100" t="s">
        <v>138</v>
      </c>
      <c r="I1544" s="100">
        <v>67</v>
      </c>
      <c r="J1544" s="100" t="s">
        <v>389</v>
      </c>
      <c r="K1544" s="99" t="s">
        <v>106</v>
      </c>
      <c r="L1544" s="100" t="s">
        <v>3380</v>
      </c>
      <c r="M1544" s="99" t="s">
        <v>568</v>
      </c>
      <c r="N1544" s="100" t="s">
        <v>108</v>
      </c>
      <c r="O1544" s="99" t="s">
        <v>1851</v>
      </c>
      <c r="P1544" s="100" t="s">
        <v>109</v>
      </c>
      <c r="Q1544" s="99" t="s">
        <v>70</v>
      </c>
      <c r="R1544" s="100">
        <v>70</v>
      </c>
      <c r="S1544" s="100" t="s">
        <v>1779</v>
      </c>
      <c r="T1544" s="100" t="s">
        <v>174</v>
      </c>
      <c r="U1544" s="100" t="s">
        <v>73</v>
      </c>
      <c r="V1544" s="99" t="s">
        <v>1852</v>
      </c>
      <c r="W1544" s="99" t="s">
        <v>1556</v>
      </c>
      <c r="X1544" s="100" t="s">
        <v>1864</v>
      </c>
      <c r="Y1544" s="100">
        <v>1.3273874999999999E-2</v>
      </c>
      <c r="Z1544" s="100">
        <v>1.5</v>
      </c>
      <c r="AA1544" s="100" t="s">
        <v>77</v>
      </c>
      <c r="AB1544" s="100" t="s">
        <v>114</v>
      </c>
      <c r="AC1544" s="229" t="e">
        <f>HYPERLINK(#REF!,"ССЫЛКА")</f>
        <v>#REF!</v>
      </c>
      <c r="AD1544" s="88" t="e">
        <f>ROUNDUP(1.7*#REF!,0)</f>
        <v>#REF!</v>
      </c>
    </row>
    <row r="1545" spans="1:30" s="12" customFormat="1" ht="39.950000000000003" hidden="1" customHeight="1" outlineLevel="1" x14ac:dyDescent="0.25">
      <c r="A1545" s="5"/>
      <c r="B1545" s="23" t="s">
        <v>1848</v>
      </c>
      <c r="C1545" s="80" t="s">
        <v>1865</v>
      </c>
      <c r="D1545" s="12">
        <v>3120</v>
      </c>
      <c r="E1545" s="12">
        <v>24</v>
      </c>
      <c r="F1545" s="12">
        <v>130</v>
      </c>
      <c r="G1545" s="12" t="s">
        <v>1866</v>
      </c>
      <c r="H1545" s="12" t="s">
        <v>1805</v>
      </c>
      <c r="I1545" s="12">
        <v>67</v>
      </c>
      <c r="J1545" s="12" t="s">
        <v>389</v>
      </c>
      <c r="K1545" s="1" t="s">
        <v>106</v>
      </c>
      <c r="L1545" s="12" t="s">
        <v>3380</v>
      </c>
      <c r="M1545" s="1" t="s">
        <v>568</v>
      </c>
      <c r="N1545" s="12" t="s">
        <v>108</v>
      </c>
      <c r="O1545" s="1" t="s">
        <v>1800</v>
      </c>
      <c r="P1545" s="12" t="s">
        <v>109</v>
      </c>
      <c r="Q1545" s="1" t="s">
        <v>70</v>
      </c>
      <c r="R1545" s="12">
        <v>70</v>
      </c>
      <c r="S1545" s="12" t="s">
        <v>1779</v>
      </c>
      <c r="T1545" s="12" t="s">
        <v>174</v>
      </c>
      <c r="U1545" s="12" t="s">
        <v>73</v>
      </c>
      <c r="V1545" s="1" t="s">
        <v>1852</v>
      </c>
      <c r="W1545" s="1" t="s">
        <v>1556</v>
      </c>
      <c r="X1545" s="12" t="s">
        <v>1864</v>
      </c>
      <c r="Y1545" s="12">
        <v>1.3273874999999999E-2</v>
      </c>
      <c r="Z1545" s="12">
        <v>1.5</v>
      </c>
      <c r="AA1545" s="12" t="s">
        <v>77</v>
      </c>
      <c r="AB1545" s="12" t="s">
        <v>114</v>
      </c>
      <c r="AC1545" s="226" t="e">
        <f>HYPERLINK(#REF!,"ССЫЛКА")</f>
        <v>#REF!</v>
      </c>
      <c r="AD1545" s="88" t="e">
        <f>ROUNDUP(1.7*#REF!,0)</f>
        <v>#REF!</v>
      </c>
    </row>
    <row r="1546" spans="1:30" s="12" customFormat="1" ht="39.950000000000003" hidden="1" customHeight="1" outlineLevel="1" x14ac:dyDescent="0.25">
      <c r="A1546" s="5"/>
      <c r="B1546" s="113" t="s">
        <v>1848</v>
      </c>
      <c r="C1546" s="188" t="s">
        <v>1867</v>
      </c>
      <c r="D1546" s="100">
        <v>3120</v>
      </c>
      <c r="E1546" s="100">
        <v>24</v>
      </c>
      <c r="F1546" s="100">
        <v>130</v>
      </c>
      <c r="G1546" s="100" t="s">
        <v>1868</v>
      </c>
      <c r="H1546" s="100" t="s">
        <v>1756</v>
      </c>
      <c r="I1546" s="100">
        <v>67</v>
      </c>
      <c r="J1546" s="100" t="s">
        <v>389</v>
      </c>
      <c r="K1546" s="99" t="s">
        <v>106</v>
      </c>
      <c r="L1546" s="100" t="s">
        <v>3380</v>
      </c>
      <c r="M1546" s="99" t="s">
        <v>568</v>
      </c>
      <c r="N1546" s="100" t="s">
        <v>108</v>
      </c>
      <c r="O1546" s="99" t="s">
        <v>1800</v>
      </c>
      <c r="P1546" s="100" t="s">
        <v>109</v>
      </c>
      <c r="Q1546" s="99" t="s">
        <v>70</v>
      </c>
      <c r="R1546" s="100">
        <v>70</v>
      </c>
      <c r="S1546" s="100" t="s">
        <v>1779</v>
      </c>
      <c r="T1546" s="100" t="s">
        <v>174</v>
      </c>
      <c r="U1546" s="100" t="s">
        <v>73</v>
      </c>
      <c r="V1546" s="99" t="s">
        <v>1852</v>
      </c>
      <c r="W1546" s="99" t="s">
        <v>1556</v>
      </c>
      <c r="X1546" s="100" t="s">
        <v>1864</v>
      </c>
      <c r="Y1546" s="100">
        <v>1.3273874999999999E-2</v>
      </c>
      <c r="Z1546" s="100">
        <v>1.5</v>
      </c>
      <c r="AA1546" s="100" t="s">
        <v>77</v>
      </c>
      <c r="AB1546" s="100" t="s">
        <v>114</v>
      </c>
      <c r="AC1546" s="229" t="e">
        <f>HYPERLINK(#REF!,"ССЫЛКА")</f>
        <v>#REF!</v>
      </c>
      <c r="AD1546" s="88" t="e">
        <f>ROUNDUP(1.7*#REF!,0)</f>
        <v>#REF!</v>
      </c>
    </row>
    <row r="1547" spans="1:30" s="12" customFormat="1" ht="39.950000000000003" hidden="1" customHeight="1" outlineLevel="1" x14ac:dyDescent="0.25">
      <c r="A1547" s="5"/>
      <c r="B1547" s="23" t="s">
        <v>1848</v>
      </c>
      <c r="C1547" s="80" t="s">
        <v>1869</v>
      </c>
      <c r="D1547" s="12">
        <v>3120</v>
      </c>
      <c r="E1547" s="12">
        <v>24</v>
      </c>
      <c r="F1547" s="12">
        <v>130</v>
      </c>
      <c r="G1547" s="12" t="s">
        <v>1870</v>
      </c>
      <c r="H1547" s="12" t="s">
        <v>1577</v>
      </c>
      <c r="I1547" s="12">
        <v>67</v>
      </c>
      <c r="J1547" s="12" t="s">
        <v>389</v>
      </c>
      <c r="K1547" s="1" t="s">
        <v>106</v>
      </c>
      <c r="L1547" s="12" t="s">
        <v>3380</v>
      </c>
      <c r="M1547" s="1" t="s">
        <v>568</v>
      </c>
      <c r="N1547" s="12" t="s">
        <v>108</v>
      </c>
      <c r="O1547" s="1" t="s">
        <v>1800</v>
      </c>
      <c r="P1547" s="12" t="s">
        <v>109</v>
      </c>
      <c r="Q1547" s="1" t="s">
        <v>70</v>
      </c>
      <c r="R1547" s="12">
        <v>70</v>
      </c>
      <c r="S1547" s="12" t="s">
        <v>1779</v>
      </c>
      <c r="T1547" s="12" t="s">
        <v>174</v>
      </c>
      <c r="U1547" s="12" t="s">
        <v>73</v>
      </c>
      <c r="V1547" s="1" t="s">
        <v>1852</v>
      </c>
      <c r="W1547" s="1" t="s">
        <v>1556</v>
      </c>
      <c r="X1547" s="12" t="s">
        <v>1864</v>
      </c>
      <c r="Y1547" s="12">
        <v>1.3273874999999999E-2</v>
      </c>
      <c r="Z1547" s="12">
        <v>1.5</v>
      </c>
      <c r="AA1547" s="12" t="s">
        <v>77</v>
      </c>
      <c r="AB1547" s="12" t="s">
        <v>114</v>
      </c>
      <c r="AC1547" s="226" t="e">
        <f>HYPERLINK(#REF!,"ССЫЛКА")</f>
        <v>#REF!</v>
      </c>
      <c r="AD1547" s="88" t="e">
        <f>ROUNDUP(1.7*#REF!,0)</f>
        <v>#REF!</v>
      </c>
    </row>
    <row r="1548" spans="1:30" s="12" customFormat="1" ht="39.950000000000003" hidden="1" customHeight="1" outlineLevel="1" x14ac:dyDescent="0.25">
      <c r="A1548" s="5"/>
      <c r="B1548" s="113" t="s">
        <v>1848</v>
      </c>
      <c r="C1548" s="188" t="s">
        <v>1871</v>
      </c>
      <c r="D1548" s="100">
        <v>3120</v>
      </c>
      <c r="E1548" s="100">
        <v>24</v>
      </c>
      <c r="F1548" s="100">
        <v>130</v>
      </c>
      <c r="G1548" s="100" t="s">
        <v>1872</v>
      </c>
      <c r="H1548" s="100" t="s">
        <v>1812</v>
      </c>
      <c r="I1548" s="100">
        <v>67</v>
      </c>
      <c r="J1548" s="100" t="s">
        <v>389</v>
      </c>
      <c r="K1548" s="99" t="s">
        <v>106</v>
      </c>
      <c r="L1548" s="100" t="s">
        <v>3380</v>
      </c>
      <c r="M1548" s="99" t="s">
        <v>568</v>
      </c>
      <c r="N1548" s="100" t="s">
        <v>108</v>
      </c>
      <c r="O1548" s="99" t="s">
        <v>1800</v>
      </c>
      <c r="P1548" s="100" t="s">
        <v>109</v>
      </c>
      <c r="Q1548" s="99" t="s">
        <v>70</v>
      </c>
      <c r="R1548" s="100">
        <v>70</v>
      </c>
      <c r="S1548" s="100" t="s">
        <v>1779</v>
      </c>
      <c r="T1548" s="100" t="s">
        <v>174</v>
      </c>
      <c r="U1548" s="100" t="s">
        <v>73</v>
      </c>
      <c r="V1548" s="99" t="s">
        <v>1852</v>
      </c>
      <c r="W1548" s="99" t="s">
        <v>1556</v>
      </c>
      <c r="X1548" s="100" t="s">
        <v>1864</v>
      </c>
      <c r="Y1548" s="100">
        <v>1.3273874999999999E-2</v>
      </c>
      <c r="Z1548" s="100">
        <v>1.5</v>
      </c>
      <c r="AA1548" s="100" t="s">
        <v>77</v>
      </c>
      <c r="AB1548" s="100" t="s">
        <v>114</v>
      </c>
      <c r="AC1548" s="229" t="e">
        <f>HYPERLINK(#REF!,"ССЫЛКА")</f>
        <v>#REF!</v>
      </c>
      <c r="AD1548" s="88" t="e">
        <f>ROUNDUP(1.7*#REF!,0)</f>
        <v>#REF!</v>
      </c>
    </row>
    <row r="1549" spans="1:30" s="144" customFormat="1" ht="39.950000000000003" hidden="1" customHeight="1" outlineLevel="1" x14ac:dyDescent="0.25">
      <c r="A1549" s="114"/>
      <c r="B1549" s="114" t="s">
        <v>1753</v>
      </c>
      <c r="C1549" s="157" t="s">
        <v>1754</v>
      </c>
      <c r="D1549" s="146">
        <v>1200</v>
      </c>
      <c r="E1549" s="146">
        <v>9</v>
      </c>
      <c r="F1549" s="146">
        <v>133</v>
      </c>
      <c r="G1549" s="146" t="s">
        <v>1755</v>
      </c>
      <c r="H1549" s="146" t="s">
        <v>1756</v>
      </c>
      <c r="I1549" s="146">
        <v>67</v>
      </c>
      <c r="J1549" s="146" t="s">
        <v>105</v>
      </c>
      <c r="K1549" s="114" t="s">
        <v>106</v>
      </c>
      <c r="L1549" s="146">
        <v>0.57999999999999996</v>
      </c>
      <c r="M1549" s="114" t="s">
        <v>506</v>
      </c>
      <c r="N1549" s="146" t="s">
        <v>108</v>
      </c>
      <c r="O1549" s="114" t="s">
        <v>68</v>
      </c>
      <c r="P1549" s="146" t="s">
        <v>69</v>
      </c>
      <c r="Q1549" s="114" t="s">
        <v>1757</v>
      </c>
      <c r="R1549" s="146">
        <v>80</v>
      </c>
      <c r="S1549" s="146" t="s">
        <v>1758</v>
      </c>
      <c r="T1549" s="146" t="s">
        <v>174</v>
      </c>
      <c r="U1549" s="146" t="s">
        <v>73</v>
      </c>
      <c r="V1549" s="114" t="s">
        <v>1759</v>
      </c>
      <c r="W1549" s="114" t="s">
        <v>75</v>
      </c>
      <c r="X1549" s="146" t="s">
        <v>1760</v>
      </c>
      <c r="Y1549" s="146">
        <v>0.01</v>
      </c>
      <c r="Z1549" s="146">
        <v>0.3</v>
      </c>
      <c r="AA1549" s="146" t="s">
        <v>77</v>
      </c>
      <c r="AB1549" s="146" t="s">
        <v>114</v>
      </c>
      <c r="AC1549" s="228" t="e">
        <f>HYPERLINK(#REF!,"ССЫЛКА")</f>
        <v>#REF!</v>
      </c>
      <c r="AD1549" s="88" t="e">
        <f>ROUNDUP(1.7*#REF!,0)</f>
        <v>#REF!</v>
      </c>
    </row>
    <row r="1550" spans="1:30" s="144" customFormat="1" ht="39.950000000000003" hidden="1" customHeight="1" outlineLevel="1" x14ac:dyDescent="0.25">
      <c r="A1550" s="114"/>
      <c r="B1550" s="147" t="s">
        <v>1753</v>
      </c>
      <c r="C1550" s="189" t="s">
        <v>1761</v>
      </c>
      <c r="D1550" s="145">
        <v>1200</v>
      </c>
      <c r="E1550" s="145">
        <v>9</v>
      </c>
      <c r="F1550" s="145">
        <v>133</v>
      </c>
      <c r="G1550" s="145" t="s">
        <v>1762</v>
      </c>
      <c r="H1550" s="145" t="s">
        <v>183</v>
      </c>
      <c r="I1550" s="145">
        <v>67</v>
      </c>
      <c r="J1550" s="145" t="s">
        <v>105</v>
      </c>
      <c r="K1550" s="147" t="s">
        <v>106</v>
      </c>
      <c r="L1550" s="145">
        <v>0.57999999999999996</v>
      </c>
      <c r="M1550" s="147" t="s">
        <v>506</v>
      </c>
      <c r="N1550" s="145" t="s">
        <v>108</v>
      </c>
      <c r="O1550" s="147" t="s">
        <v>68</v>
      </c>
      <c r="P1550" s="145" t="s">
        <v>69</v>
      </c>
      <c r="Q1550" s="147" t="s">
        <v>1757</v>
      </c>
      <c r="R1550" s="145">
        <v>80</v>
      </c>
      <c r="S1550" s="145" t="s">
        <v>1758</v>
      </c>
      <c r="T1550" s="145" t="s">
        <v>174</v>
      </c>
      <c r="U1550" s="145" t="s">
        <v>73</v>
      </c>
      <c r="V1550" s="147" t="s">
        <v>1759</v>
      </c>
      <c r="W1550" s="147" t="s">
        <v>75</v>
      </c>
      <c r="X1550" s="145" t="s">
        <v>1760</v>
      </c>
      <c r="Y1550" s="145">
        <v>0.01</v>
      </c>
      <c r="Z1550" s="145">
        <v>0.3</v>
      </c>
      <c r="AA1550" s="145" t="s">
        <v>77</v>
      </c>
      <c r="AB1550" s="145" t="s">
        <v>114</v>
      </c>
      <c r="AC1550" s="229" t="e">
        <f>HYPERLINK(#REF!,"ССЫЛКА")</f>
        <v>#REF!</v>
      </c>
      <c r="AD1550" s="88" t="e">
        <f>ROUNDUP(1.7*#REF!,0)</f>
        <v>#REF!</v>
      </c>
    </row>
    <row r="1551" spans="1:30" s="144" customFormat="1" ht="39.950000000000003" hidden="1" customHeight="1" outlineLevel="1" x14ac:dyDescent="0.25">
      <c r="A1551" s="114"/>
      <c r="B1551" s="114" t="s">
        <v>1763</v>
      </c>
      <c r="C1551" s="157" t="s">
        <v>1764</v>
      </c>
      <c r="D1551" s="146">
        <v>2400</v>
      </c>
      <c r="E1551" s="146">
        <v>18</v>
      </c>
      <c r="F1551" s="146">
        <v>133</v>
      </c>
      <c r="G1551" s="146" t="s">
        <v>1765</v>
      </c>
      <c r="H1551" s="146" t="s">
        <v>1766</v>
      </c>
      <c r="I1551" s="146">
        <v>67</v>
      </c>
      <c r="J1551" s="146" t="s">
        <v>105</v>
      </c>
      <c r="K1551" s="114" t="s">
        <v>106</v>
      </c>
      <c r="L1551" s="146">
        <v>0.57999999999999996</v>
      </c>
      <c r="M1551" s="114" t="s">
        <v>506</v>
      </c>
      <c r="N1551" s="146" t="s">
        <v>108</v>
      </c>
      <c r="O1551" s="114" t="s">
        <v>68</v>
      </c>
      <c r="P1551" s="146" t="s">
        <v>69</v>
      </c>
      <c r="Q1551" s="114" t="s">
        <v>1757</v>
      </c>
      <c r="R1551" s="146">
        <v>80</v>
      </c>
      <c r="S1551" s="146" t="s">
        <v>1767</v>
      </c>
      <c r="T1551" s="146" t="s">
        <v>1768</v>
      </c>
      <c r="U1551" s="146" t="s">
        <v>73</v>
      </c>
      <c r="V1551" s="114" t="s">
        <v>1759</v>
      </c>
      <c r="W1551" s="114" t="s">
        <v>75</v>
      </c>
      <c r="X1551" s="146" t="s">
        <v>1760</v>
      </c>
      <c r="Y1551" s="146">
        <v>0.01</v>
      </c>
      <c r="Z1551" s="146">
        <v>0.3</v>
      </c>
      <c r="AA1551" s="146" t="s">
        <v>77</v>
      </c>
      <c r="AB1551" s="146" t="s">
        <v>114</v>
      </c>
      <c r="AC1551" s="228" t="e">
        <f>HYPERLINK(#REF!,"ССЫЛКА")</f>
        <v>#REF!</v>
      </c>
      <c r="AD1551" s="88" t="e">
        <f>ROUNDUP(1.7*#REF!,0)</f>
        <v>#REF!</v>
      </c>
    </row>
    <row r="1552" spans="1:30" s="144" customFormat="1" ht="39.950000000000003" hidden="1" customHeight="1" outlineLevel="1" x14ac:dyDescent="0.25">
      <c r="A1552" s="114"/>
      <c r="B1552" s="147" t="s">
        <v>1763</v>
      </c>
      <c r="C1552" s="189" t="s">
        <v>1769</v>
      </c>
      <c r="D1552" s="145">
        <v>2400</v>
      </c>
      <c r="E1552" s="145">
        <v>18</v>
      </c>
      <c r="F1552" s="145">
        <v>133</v>
      </c>
      <c r="G1552" s="145" t="s">
        <v>1770</v>
      </c>
      <c r="H1552" s="145" t="s">
        <v>1771</v>
      </c>
      <c r="I1552" s="145">
        <v>67</v>
      </c>
      <c r="J1552" s="145" t="s">
        <v>105</v>
      </c>
      <c r="K1552" s="147" t="s">
        <v>106</v>
      </c>
      <c r="L1552" s="145">
        <v>0.57999999999999996</v>
      </c>
      <c r="M1552" s="147" t="s">
        <v>506</v>
      </c>
      <c r="N1552" s="145" t="s">
        <v>108</v>
      </c>
      <c r="O1552" s="147" t="s">
        <v>68</v>
      </c>
      <c r="P1552" s="145" t="s">
        <v>69</v>
      </c>
      <c r="Q1552" s="147" t="s">
        <v>1757</v>
      </c>
      <c r="R1552" s="145">
        <v>80</v>
      </c>
      <c r="S1552" s="145" t="s">
        <v>1767</v>
      </c>
      <c r="T1552" s="145" t="s">
        <v>1768</v>
      </c>
      <c r="U1552" s="145" t="s">
        <v>73</v>
      </c>
      <c r="V1552" s="147" t="s">
        <v>1759</v>
      </c>
      <c r="W1552" s="147" t="s">
        <v>75</v>
      </c>
      <c r="X1552" s="145" t="s">
        <v>1760</v>
      </c>
      <c r="Y1552" s="145">
        <v>0.01</v>
      </c>
      <c r="Z1552" s="145">
        <v>0.3</v>
      </c>
      <c r="AA1552" s="145" t="s">
        <v>77</v>
      </c>
      <c r="AB1552" s="145" t="s">
        <v>114</v>
      </c>
      <c r="AC1552" s="229" t="e">
        <f>HYPERLINK(#REF!,"ССЫЛКА")</f>
        <v>#REF!</v>
      </c>
      <c r="AD1552" s="88" t="e">
        <f>ROUNDUP(1.7*#REF!,0)</f>
        <v>#REF!</v>
      </c>
    </row>
    <row r="1553" spans="1:30" s="144" customFormat="1" ht="39.950000000000003" hidden="1" customHeight="1" outlineLevel="1" x14ac:dyDescent="0.25">
      <c r="A1553" s="114"/>
      <c r="B1553" s="114" t="s">
        <v>1763</v>
      </c>
      <c r="C1553" s="157" t="s">
        <v>1772</v>
      </c>
      <c r="D1553" s="146">
        <v>1200</v>
      </c>
      <c r="E1553" s="146">
        <v>9</v>
      </c>
      <c r="F1553" s="146">
        <v>133</v>
      </c>
      <c r="G1553" s="146" t="s">
        <v>1773</v>
      </c>
      <c r="H1553" s="146" t="s">
        <v>1766</v>
      </c>
      <c r="I1553" s="146">
        <v>67</v>
      </c>
      <c r="J1553" s="146" t="s">
        <v>105</v>
      </c>
      <c r="K1553" s="114" t="s">
        <v>106</v>
      </c>
      <c r="L1553" s="146">
        <v>0.57999999999999996</v>
      </c>
      <c r="M1553" s="114" t="s">
        <v>506</v>
      </c>
      <c r="N1553" s="146" t="s">
        <v>108</v>
      </c>
      <c r="O1553" s="114" t="s">
        <v>68</v>
      </c>
      <c r="P1553" s="146" t="s">
        <v>69</v>
      </c>
      <c r="Q1553" s="114" t="s">
        <v>1757</v>
      </c>
      <c r="R1553" s="146">
        <v>80</v>
      </c>
      <c r="S1553" s="146" t="s">
        <v>1767</v>
      </c>
      <c r="T1553" s="146" t="s">
        <v>1768</v>
      </c>
      <c r="U1553" s="146" t="s">
        <v>73</v>
      </c>
      <c r="V1553" s="114" t="s">
        <v>1759</v>
      </c>
      <c r="W1553" s="114" t="s">
        <v>75</v>
      </c>
      <c r="X1553" s="146" t="s">
        <v>1760</v>
      </c>
      <c r="Y1553" s="146">
        <v>0.01</v>
      </c>
      <c r="Z1553" s="146">
        <v>0.3</v>
      </c>
      <c r="AA1553" s="146" t="s">
        <v>77</v>
      </c>
      <c r="AB1553" s="146" t="s">
        <v>114</v>
      </c>
      <c r="AC1553" s="228" t="e">
        <f>HYPERLINK(#REF!,"ССЫЛКА")</f>
        <v>#REF!</v>
      </c>
      <c r="AD1553" s="88" t="e">
        <f>ROUNDUP(1.7*#REF!,0)</f>
        <v>#REF!</v>
      </c>
    </row>
    <row r="1554" spans="1:30" s="144" customFormat="1" ht="39.950000000000003" hidden="1" customHeight="1" outlineLevel="1" x14ac:dyDescent="0.25">
      <c r="A1554" s="114"/>
      <c r="B1554" s="147" t="s">
        <v>1763</v>
      </c>
      <c r="C1554" s="189" t="s">
        <v>1774</v>
      </c>
      <c r="D1554" s="145">
        <v>1200</v>
      </c>
      <c r="E1554" s="145">
        <v>9</v>
      </c>
      <c r="F1554" s="145">
        <v>133</v>
      </c>
      <c r="G1554" s="145" t="s">
        <v>1775</v>
      </c>
      <c r="H1554" s="145" t="s">
        <v>1771</v>
      </c>
      <c r="I1554" s="145">
        <v>67</v>
      </c>
      <c r="J1554" s="145" t="s">
        <v>105</v>
      </c>
      <c r="K1554" s="147" t="s">
        <v>106</v>
      </c>
      <c r="L1554" s="145">
        <v>0.57999999999999996</v>
      </c>
      <c r="M1554" s="147" t="s">
        <v>506</v>
      </c>
      <c r="N1554" s="145" t="s">
        <v>108</v>
      </c>
      <c r="O1554" s="147" t="s">
        <v>68</v>
      </c>
      <c r="P1554" s="145" t="s">
        <v>69</v>
      </c>
      <c r="Q1554" s="147" t="s">
        <v>1757</v>
      </c>
      <c r="R1554" s="145">
        <v>80</v>
      </c>
      <c r="S1554" s="145" t="s">
        <v>1767</v>
      </c>
      <c r="T1554" s="145" t="s">
        <v>1768</v>
      </c>
      <c r="U1554" s="145" t="s">
        <v>73</v>
      </c>
      <c r="V1554" s="147" t="s">
        <v>1759</v>
      </c>
      <c r="W1554" s="147" t="s">
        <v>75</v>
      </c>
      <c r="X1554" s="145" t="s">
        <v>1760</v>
      </c>
      <c r="Y1554" s="145">
        <v>0.01</v>
      </c>
      <c r="Z1554" s="145">
        <v>0.3</v>
      </c>
      <c r="AA1554" s="145" t="s">
        <v>77</v>
      </c>
      <c r="AB1554" s="145" t="s">
        <v>114</v>
      </c>
      <c r="AC1554" s="229" t="e">
        <f>HYPERLINK(#REF!,"ССЫЛКА")</f>
        <v>#REF!</v>
      </c>
      <c r="AD1554" s="86" t="e">
        <f>ROUNDUP(1.7*#REF!,0)</f>
        <v>#REF!</v>
      </c>
    </row>
    <row r="1555" spans="1:30" s="146" customFormat="1" ht="39.950000000000003" hidden="1" customHeight="1" outlineLevel="1" x14ac:dyDescent="0.25">
      <c r="A1555" s="114"/>
      <c r="B1555" s="114" t="s">
        <v>1550</v>
      </c>
      <c r="C1555" s="157" t="s">
        <v>1551</v>
      </c>
      <c r="D1555" s="146">
        <v>1440</v>
      </c>
      <c r="E1555" s="146">
        <v>12</v>
      </c>
      <c r="F1555" s="146">
        <v>120</v>
      </c>
      <c r="G1555" s="146" t="s">
        <v>1552</v>
      </c>
      <c r="H1555" s="146" t="s">
        <v>138</v>
      </c>
      <c r="I1555" s="146">
        <v>65</v>
      </c>
      <c r="J1555" s="146" t="s">
        <v>105</v>
      </c>
      <c r="K1555" s="114" t="s">
        <v>106</v>
      </c>
      <c r="L1555" s="146" t="s">
        <v>59</v>
      </c>
      <c r="M1555" s="114" t="s">
        <v>506</v>
      </c>
      <c r="N1555" s="146" t="s">
        <v>108</v>
      </c>
      <c r="O1555" s="114" t="s">
        <v>1553</v>
      </c>
      <c r="P1555" s="146" t="s">
        <v>109</v>
      </c>
      <c r="Q1555" s="114" t="s">
        <v>70</v>
      </c>
      <c r="R1555" s="146">
        <v>80</v>
      </c>
      <c r="S1555" s="146" t="s">
        <v>1554</v>
      </c>
      <c r="T1555" s="146" t="s">
        <v>1555</v>
      </c>
      <c r="U1555" s="146" t="s">
        <v>73</v>
      </c>
      <c r="V1555" s="114" t="s">
        <v>74</v>
      </c>
      <c r="W1555" s="114" t="s">
        <v>1556</v>
      </c>
      <c r="X1555" s="146" t="s">
        <v>1557</v>
      </c>
      <c r="Y1555" s="146">
        <v>5.4599999999999996E-3</v>
      </c>
      <c r="Z1555" s="146">
        <v>0.8</v>
      </c>
      <c r="AA1555" s="146" t="s">
        <v>77</v>
      </c>
      <c r="AB1555" s="146" t="s">
        <v>114</v>
      </c>
      <c r="AC1555" s="228" t="e">
        <f>HYPERLINK(#REF!,"ССЫЛКА")</f>
        <v>#REF!</v>
      </c>
      <c r="AD1555" s="88" t="e">
        <f>ROUNDUP(1.7*#REF!,0)</f>
        <v>#REF!</v>
      </c>
    </row>
    <row r="1556" spans="1:30" s="146" customFormat="1" ht="39.950000000000003" hidden="1" customHeight="1" outlineLevel="1" x14ac:dyDescent="0.25">
      <c r="A1556" s="114"/>
      <c r="B1556" s="114" t="s">
        <v>1550</v>
      </c>
      <c r="C1556" s="157" t="s">
        <v>1558</v>
      </c>
      <c r="D1556" s="146">
        <v>2880</v>
      </c>
      <c r="E1556" s="146">
        <v>24</v>
      </c>
      <c r="F1556" s="146">
        <v>120</v>
      </c>
      <c r="G1556" s="146" t="s">
        <v>1559</v>
      </c>
      <c r="H1556" s="146" t="s">
        <v>138</v>
      </c>
      <c r="I1556" s="146">
        <v>65</v>
      </c>
      <c r="J1556" s="146" t="s">
        <v>105</v>
      </c>
      <c r="K1556" s="114" t="s">
        <v>106</v>
      </c>
      <c r="L1556" s="146" t="s">
        <v>3380</v>
      </c>
      <c r="M1556" s="114" t="s">
        <v>107</v>
      </c>
      <c r="N1556" s="146" t="s">
        <v>67</v>
      </c>
      <c r="O1556" s="114" t="s">
        <v>1553</v>
      </c>
      <c r="P1556" s="146" t="s">
        <v>109</v>
      </c>
      <c r="Q1556" s="114" t="s">
        <v>70</v>
      </c>
      <c r="R1556" s="146">
        <v>80</v>
      </c>
      <c r="S1556" s="146" t="s">
        <v>1560</v>
      </c>
      <c r="T1556" s="146" t="s">
        <v>1555</v>
      </c>
      <c r="U1556" s="146" t="s">
        <v>73</v>
      </c>
      <c r="V1556" s="114" t="s">
        <v>74</v>
      </c>
      <c r="W1556" s="114" t="s">
        <v>1556</v>
      </c>
      <c r="X1556" s="146" t="s">
        <v>1561</v>
      </c>
      <c r="Y1556" s="146">
        <v>9.5549999999999993E-3</v>
      </c>
      <c r="Z1556" s="146">
        <v>1.3</v>
      </c>
      <c r="AA1556" s="146" t="s">
        <v>77</v>
      </c>
      <c r="AB1556" s="146" t="s">
        <v>114</v>
      </c>
      <c r="AC1556" s="228" t="e">
        <f>HYPERLINK(#REF!,"ССЫЛКА")</f>
        <v>#REF!</v>
      </c>
      <c r="AD1556" s="88" t="e">
        <f>ROUNDUP(1.7*#REF!,0)</f>
        <v>#REF!</v>
      </c>
    </row>
    <row r="1557" spans="1:30" s="146" customFormat="1" ht="39.950000000000003" hidden="1" customHeight="1" outlineLevel="1" x14ac:dyDescent="0.25">
      <c r="A1557" s="114"/>
      <c r="B1557" s="114" t="s">
        <v>1550</v>
      </c>
      <c r="C1557" s="157" t="s">
        <v>1562</v>
      </c>
      <c r="D1557" s="146">
        <v>4320</v>
      </c>
      <c r="E1557" s="146">
        <v>36</v>
      </c>
      <c r="F1557" s="146">
        <v>120</v>
      </c>
      <c r="G1557" s="146" t="s">
        <v>1563</v>
      </c>
      <c r="H1557" s="146" t="s">
        <v>138</v>
      </c>
      <c r="I1557" s="146">
        <v>65</v>
      </c>
      <c r="J1557" s="146" t="s">
        <v>105</v>
      </c>
      <c r="K1557" s="114" t="s">
        <v>106</v>
      </c>
      <c r="L1557" s="146" t="s">
        <v>3380</v>
      </c>
      <c r="M1557" s="114" t="s">
        <v>107</v>
      </c>
      <c r="N1557" s="146" t="s">
        <v>67</v>
      </c>
      <c r="O1557" s="114" t="s">
        <v>1553</v>
      </c>
      <c r="P1557" s="146" t="s">
        <v>109</v>
      </c>
      <c r="Q1557" s="114" t="s">
        <v>70</v>
      </c>
      <c r="R1557" s="146">
        <v>80</v>
      </c>
      <c r="S1557" s="146" t="s">
        <v>1564</v>
      </c>
      <c r="T1557" s="146" t="s">
        <v>1555</v>
      </c>
      <c r="U1557" s="146" t="s">
        <v>73</v>
      </c>
      <c r="V1557" s="114" t="s">
        <v>74</v>
      </c>
      <c r="W1557" s="114" t="s">
        <v>1556</v>
      </c>
      <c r="X1557" s="146" t="s">
        <v>1565</v>
      </c>
      <c r="Y1557" s="146">
        <v>1.3520000000000001E-2</v>
      </c>
      <c r="Z1557" s="146">
        <v>1.7</v>
      </c>
      <c r="AA1557" s="146" t="s">
        <v>77</v>
      </c>
      <c r="AB1557" s="146" t="s">
        <v>114</v>
      </c>
      <c r="AC1557" s="228" t="e">
        <f>HYPERLINK(#REF!,"ССЫЛКА")</f>
        <v>#REF!</v>
      </c>
      <c r="AD1557" s="88" t="e">
        <f>ROUNDUP(1.7*#REF!,0)</f>
        <v>#REF!</v>
      </c>
    </row>
    <row r="1558" spans="1:30" s="146" customFormat="1" ht="39.950000000000003" hidden="1" customHeight="1" outlineLevel="1" x14ac:dyDescent="0.25">
      <c r="A1558" s="114"/>
      <c r="B1558" s="114" t="s">
        <v>1550</v>
      </c>
      <c r="C1558" s="157" t="s">
        <v>1566</v>
      </c>
      <c r="D1558" s="146">
        <v>6000</v>
      </c>
      <c r="E1558" s="146">
        <v>50</v>
      </c>
      <c r="F1558" s="146">
        <v>120</v>
      </c>
      <c r="G1558" s="146" t="s">
        <v>1567</v>
      </c>
      <c r="H1558" s="146" t="s">
        <v>138</v>
      </c>
      <c r="I1558" s="146">
        <v>65</v>
      </c>
      <c r="J1558" s="146" t="s">
        <v>105</v>
      </c>
      <c r="K1558" s="114" t="s">
        <v>106</v>
      </c>
      <c r="L1558" s="146" t="s">
        <v>3380</v>
      </c>
      <c r="M1558" s="114" t="s">
        <v>107</v>
      </c>
      <c r="N1558" s="146" t="s">
        <v>67</v>
      </c>
      <c r="O1558" s="114" t="s">
        <v>1553</v>
      </c>
      <c r="P1558" s="146" t="s">
        <v>109</v>
      </c>
      <c r="Q1558" s="114" t="s">
        <v>70</v>
      </c>
      <c r="R1558" s="146">
        <v>80</v>
      </c>
      <c r="S1558" s="146" t="s">
        <v>1568</v>
      </c>
      <c r="T1558" s="146" t="s">
        <v>1555</v>
      </c>
      <c r="U1558" s="146" t="s">
        <v>73</v>
      </c>
      <c r="V1558" s="114" t="s">
        <v>74</v>
      </c>
      <c r="W1558" s="114" t="s">
        <v>1556</v>
      </c>
      <c r="X1558" s="146" t="s">
        <v>1569</v>
      </c>
      <c r="Y1558" s="146">
        <v>1.7420000000000001E-2</v>
      </c>
      <c r="Z1558" s="146">
        <v>2.1</v>
      </c>
      <c r="AA1558" s="146" t="s">
        <v>77</v>
      </c>
      <c r="AB1558" s="146" t="s">
        <v>114</v>
      </c>
      <c r="AC1558" s="228" t="e">
        <f>HYPERLINK(#REF!,"ССЫЛКА")</f>
        <v>#REF!</v>
      </c>
      <c r="AD1558" s="88" t="e">
        <f>ROUNDUP(1.7*#REF!,0)</f>
        <v>#REF!</v>
      </c>
    </row>
    <row r="1559" spans="1:30" s="146" customFormat="1" ht="39.950000000000003" hidden="1" customHeight="1" outlineLevel="1" x14ac:dyDescent="0.25">
      <c r="A1559" s="114"/>
      <c r="B1559" s="114" t="s">
        <v>1550</v>
      </c>
      <c r="C1559" s="157" t="s">
        <v>1570</v>
      </c>
      <c r="D1559" s="146">
        <v>7680</v>
      </c>
      <c r="E1559" s="146">
        <v>64</v>
      </c>
      <c r="F1559" s="146">
        <v>120</v>
      </c>
      <c r="G1559" s="146" t="s">
        <v>1571</v>
      </c>
      <c r="H1559" s="146" t="s">
        <v>138</v>
      </c>
      <c r="I1559" s="146">
        <v>65</v>
      </c>
      <c r="J1559" s="146" t="s">
        <v>105</v>
      </c>
      <c r="K1559" s="114" t="s">
        <v>106</v>
      </c>
      <c r="L1559" s="146" t="s">
        <v>3380</v>
      </c>
      <c r="M1559" s="114" t="s">
        <v>107</v>
      </c>
      <c r="N1559" s="146" t="s">
        <v>67</v>
      </c>
      <c r="O1559" s="114" t="s">
        <v>1553</v>
      </c>
      <c r="P1559" s="146" t="s">
        <v>109</v>
      </c>
      <c r="Q1559" s="114" t="s">
        <v>70</v>
      </c>
      <c r="R1559" s="146">
        <v>80</v>
      </c>
      <c r="S1559" s="146" t="s">
        <v>634</v>
      </c>
      <c r="T1559" s="146" t="s">
        <v>141</v>
      </c>
      <c r="U1559" s="146" t="s">
        <v>73</v>
      </c>
      <c r="V1559" s="114" t="s">
        <v>74</v>
      </c>
      <c r="W1559" s="114" t="s">
        <v>1556</v>
      </c>
      <c r="X1559" s="146" t="s">
        <v>1572</v>
      </c>
      <c r="Y1559" s="146">
        <v>2.0130499999999999E-2</v>
      </c>
      <c r="Z1559" s="146">
        <v>2.5</v>
      </c>
      <c r="AA1559" s="146" t="s">
        <v>77</v>
      </c>
      <c r="AB1559" s="146" t="s">
        <v>114</v>
      </c>
      <c r="AC1559" s="228" t="e">
        <f>HYPERLINK(#REF!,"ССЫЛКА")</f>
        <v>#REF!</v>
      </c>
      <c r="AD1559" s="88" t="e">
        <f>ROUNDUP(1.7*#REF!,0)</f>
        <v>#REF!</v>
      </c>
    </row>
    <row r="1560" spans="1:30" s="161" customFormat="1" ht="39.950000000000003" hidden="1" customHeight="1" outlineLevel="1" x14ac:dyDescent="0.25">
      <c r="A1560" s="6"/>
      <c r="B1560" s="21" t="s">
        <v>3415</v>
      </c>
      <c r="C1560" s="159" t="s">
        <v>3457</v>
      </c>
      <c r="D1560" s="161">
        <v>4860</v>
      </c>
      <c r="E1560" s="161">
        <v>38</v>
      </c>
      <c r="F1560" s="161">
        <v>128</v>
      </c>
      <c r="H1560" s="21" t="s">
        <v>3416</v>
      </c>
      <c r="I1560" s="161">
        <v>40</v>
      </c>
      <c r="J1560" s="161" t="s">
        <v>105</v>
      </c>
      <c r="K1560" s="21" t="s">
        <v>106</v>
      </c>
      <c r="L1560" s="161" t="s">
        <v>3380</v>
      </c>
      <c r="M1560" s="21" t="s">
        <v>2107</v>
      </c>
      <c r="N1560" s="161" t="s">
        <v>67</v>
      </c>
      <c r="O1560" s="21" t="s">
        <v>3420</v>
      </c>
      <c r="P1560" s="161" t="s">
        <v>109</v>
      </c>
      <c r="Q1560" s="21" t="s">
        <v>70</v>
      </c>
      <c r="R1560" s="161">
        <v>80</v>
      </c>
      <c r="S1560" s="161" t="s">
        <v>3377</v>
      </c>
      <c r="U1560" s="161" t="s">
        <v>2007</v>
      </c>
      <c r="V1560" s="21" t="s">
        <v>74</v>
      </c>
      <c r="W1560" s="21" t="s">
        <v>3469</v>
      </c>
      <c r="X1560" s="161" t="s">
        <v>3452</v>
      </c>
      <c r="Y1560" s="161">
        <v>2E-3</v>
      </c>
      <c r="Z1560" s="161">
        <v>2.2000000000000002</v>
      </c>
      <c r="AA1560" s="161" t="s">
        <v>1933</v>
      </c>
      <c r="AB1560" s="161" t="s">
        <v>114</v>
      </c>
      <c r="AC1560" s="228" t="e">
        <f>HYPERLINK(#REF!,"ССЫЛКА")</f>
        <v>#REF!</v>
      </c>
      <c r="AD1560" s="88" t="e">
        <f>ROUNDUP(1.7*#REF!,0)</f>
        <v>#REF!</v>
      </c>
    </row>
    <row r="1561" spans="1:30" s="161" customFormat="1" ht="39.950000000000003" hidden="1" customHeight="1" outlineLevel="1" x14ac:dyDescent="0.25">
      <c r="A1561" s="6"/>
      <c r="B1561" s="21" t="s">
        <v>3415</v>
      </c>
      <c r="C1561" s="159" t="s">
        <v>3458</v>
      </c>
      <c r="D1561" s="161">
        <v>4860</v>
      </c>
      <c r="E1561" s="161">
        <v>38</v>
      </c>
      <c r="F1561" s="161">
        <v>128</v>
      </c>
      <c r="H1561" s="21" t="s">
        <v>3417</v>
      </c>
      <c r="I1561" s="161">
        <v>40</v>
      </c>
      <c r="J1561" s="161" t="s">
        <v>105</v>
      </c>
      <c r="K1561" s="21" t="s">
        <v>106</v>
      </c>
      <c r="L1561" s="161" t="s">
        <v>3380</v>
      </c>
      <c r="M1561" s="21" t="s">
        <v>2107</v>
      </c>
      <c r="N1561" s="161" t="s">
        <v>67</v>
      </c>
      <c r="O1561" s="21" t="s">
        <v>3420</v>
      </c>
      <c r="P1561" s="161" t="s">
        <v>109</v>
      </c>
      <c r="Q1561" s="21" t="s">
        <v>70</v>
      </c>
      <c r="R1561" s="161">
        <v>80</v>
      </c>
      <c r="S1561" s="161" t="s">
        <v>3377</v>
      </c>
      <c r="U1561" s="161" t="s">
        <v>2007</v>
      </c>
      <c r="V1561" s="21" t="s">
        <v>74</v>
      </c>
      <c r="W1561" s="21" t="s">
        <v>3469</v>
      </c>
      <c r="X1561" s="161" t="s">
        <v>3452</v>
      </c>
      <c r="Y1561" s="161">
        <v>2E-3</v>
      </c>
      <c r="Z1561" s="161">
        <v>2.2000000000000002</v>
      </c>
      <c r="AA1561" s="161" t="s">
        <v>1933</v>
      </c>
      <c r="AB1561" s="161" t="s">
        <v>114</v>
      </c>
      <c r="AC1561" s="228" t="e">
        <f>HYPERLINK(#REF!,"ССЫЛКА")</f>
        <v>#REF!</v>
      </c>
      <c r="AD1561" s="88" t="e">
        <f>ROUNDUP(1.7*#REF!,0)</f>
        <v>#REF!</v>
      </c>
    </row>
    <row r="1562" spans="1:30" s="161" customFormat="1" ht="39.950000000000003" hidden="1" customHeight="1" outlineLevel="1" x14ac:dyDescent="0.25">
      <c r="A1562" s="6"/>
      <c r="B1562" s="21" t="s">
        <v>3415</v>
      </c>
      <c r="C1562" s="159" t="s">
        <v>3459</v>
      </c>
      <c r="D1562" s="161">
        <v>4860</v>
      </c>
      <c r="E1562" s="161">
        <v>38</v>
      </c>
      <c r="F1562" s="161">
        <v>128</v>
      </c>
      <c r="H1562" s="21" t="s">
        <v>3418</v>
      </c>
      <c r="I1562" s="161">
        <v>40</v>
      </c>
      <c r="J1562" s="161" t="s">
        <v>105</v>
      </c>
      <c r="K1562" s="21" t="s">
        <v>106</v>
      </c>
      <c r="L1562" s="161" t="s">
        <v>3380</v>
      </c>
      <c r="M1562" s="21" t="s">
        <v>2107</v>
      </c>
      <c r="N1562" s="161" t="s">
        <v>67</v>
      </c>
      <c r="O1562" s="21" t="s">
        <v>3420</v>
      </c>
      <c r="P1562" s="161" t="s">
        <v>109</v>
      </c>
      <c r="Q1562" s="21" t="s">
        <v>70</v>
      </c>
      <c r="R1562" s="161">
        <v>80</v>
      </c>
      <c r="S1562" s="161" t="s">
        <v>3377</v>
      </c>
      <c r="U1562" s="161" t="s">
        <v>2007</v>
      </c>
      <c r="V1562" s="21" t="s">
        <v>74</v>
      </c>
      <c r="W1562" s="21" t="s">
        <v>3469</v>
      </c>
      <c r="X1562" s="161" t="s">
        <v>3452</v>
      </c>
      <c r="Y1562" s="161">
        <v>2E-3</v>
      </c>
      <c r="Z1562" s="161">
        <v>2.2000000000000002</v>
      </c>
      <c r="AA1562" s="161" t="s">
        <v>1933</v>
      </c>
      <c r="AB1562" s="161" t="s">
        <v>114</v>
      </c>
      <c r="AC1562" s="228" t="e">
        <f>HYPERLINK(#REF!,"ССЫЛКА")</f>
        <v>#REF!</v>
      </c>
      <c r="AD1562" s="88" t="e">
        <f>ROUNDUP(1.7*#REF!,0)</f>
        <v>#REF!</v>
      </c>
    </row>
    <row r="1563" spans="1:30" s="161" customFormat="1" ht="39.950000000000003" hidden="1" customHeight="1" outlineLevel="1" x14ac:dyDescent="0.25">
      <c r="A1563" s="6"/>
      <c r="B1563" s="21" t="s">
        <v>3415</v>
      </c>
      <c r="C1563" s="159" t="s">
        <v>3460</v>
      </c>
      <c r="D1563" s="161">
        <v>4860</v>
      </c>
      <c r="E1563" s="161">
        <v>38</v>
      </c>
      <c r="F1563" s="161">
        <v>128</v>
      </c>
      <c r="H1563" s="21" t="s">
        <v>3419</v>
      </c>
      <c r="I1563" s="161">
        <v>40</v>
      </c>
      <c r="J1563" s="161" t="s">
        <v>105</v>
      </c>
      <c r="K1563" s="21" t="s">
        <v>106</v>
      </c>
      <c r="L1563" s="161" t="s">
        <v>3380</v>
      </c>
      <c r="M1563" s="21" t="s">
        <v>2107</v>
      </c>
      <c r="N1563" s="161" t="s">
        <v>67</v>
      </c>
      <c r="O1563" s="21" t="s">
        <v>3420</v>
      </c>
      <c r="P1563" s="161" t="s">
        <v>109</v>
      </c>
      <c r="Q1563" s="21" t="s">
        <v>70</v>
      </c>
      <c r="R1563" s="161">
        <v>80</v>
      </c>
      <c r="S1563" s="161" t="s">
        <v>3377</v>
      </c>
      <c r="U1563" s="161" t="s">
        <v>2007</v>
      </c>
      <c r="V1563" s="21" t="s">
        <v>74</v>
      </c>
      <c r="W1563" s="21" t="s">
        <v>3469</v>
      </c>
      <c r="X1563" s="161" t="s">
        <v>3452</v>
      </c>
      <c r="Y1563" s="161">
        <v>2E-3</v>
      </c>
      <c r="Z1563" s="161">
        <v>2.2000000000000002</v>
      </c>
      <c r="AA1563" s="161" t="s">
        <v>1933</v>
      </c>
      <c r="AB1563" s="161" t="s">
        <v>114</v>
      </c>
      <c r="AC1563" s="228" t="e">
        <f>HYPERLINK(#REF!,"ССЫЛКА")</f>
        <v>#REF!</v>
      </c>
      <c r="AD1563" s="88" t="e">
        <f>ROUNDUP(1.7*#REF!,0)</f>
        <v>#REF!</v>
      </c>
    </row>
    <row r="1564" spans="1:30" s="161" customFormat="1" ht="39.950000000000003" hidden="1" customHeight="1" outlineLevel="1" x14ac:dyDescent="0.25">
      <c r="A1564" s="6"/>
      <c r="B1564" s="21" t="s">
        <v>3415</v>
      </c>
      <c r="C1564" s="159" t="s">
        <v>3461</v>
      </c>
      <c r="D1564" s="161">
        <v>5130</v>
      </c>
      <c r="E1564" s="161">
        <v>38</v>
      </c>
      <c r="F1564" s="161">
        <v>135</v>
      </c>
      <c r="H1564" s="170" t="s">
        <v>138</v>
      </c>
      <c r="I1564" s="161">
        <v>40</v>
      </c>
      <c r="J1564" s="161" t="s">
        <v>105</v>
      </c>
      <c r="K1564" s="21" t="s">
        <v>106</v>
      </c>
      <c r="L1564" s="161" t="s">
        <v>3380</v>
      </c>
      <c r="M1564" s="21" t="s">
        <v>2107</v>
      </c>
      <c r="N1564" s="161" t="s">
        <v>67</v>
      </c>
      <c r="O1564" s="21" t="s">
        <v>3421</v>
      </c>
      <c r="P1564" s="161" t="s">
        <v>109</v>
      </c>
      <c r="Q1564" s="21" t="s">
        <v>70</v>
      </c>
      <c r="R1564" s="161">
        <v>80</v>
      </c>
      <c r="S1564" s="161" t="s">
        <v>3377</v>
      </c>
      <c r="U1564" s="161" t="s">
        <v>2007</v>
      </c>
      <c r="V1564" s="21" t="s">
        <v>74</v>
      </c>
      <c r="W1564" s="21" t="s">
        <v>3469</v>
      </c>
      <c r="X1564" s="161" t="s">
        <v>3452</v>
      </c>
      <c r="Y1564" s="161">
        <v>2E-3</v>
      </c>
      <c r="Z1564" s="161">
        <v>2.2000000000000002</v>
      </c>
      <c r="AA1564" s="161" t="s">
        <v>1933</v>
      </c>
      <c r="AB1564" s="161" t="s">
        <v>114</v>
      </c>
      <c r="AC1564" s="228" t="e">
        <f>HYPERLINK(#REF!,"ССЫЛКА")</f>
        <v>#REF!</v>
      </c>
      <c r="AD1564" s="88" t="e">
        <f>ROUNDUP(1.7*#REF!,0)</f>
        <v>#REF!</v>
      </c>
    </row>
    <row r="1565" spans="1:30" s="161" customFormat="1" ht="39.950000000000003" hidden="1" customHeight="1" outlineLevel="1" x14ac:dyDescent="0.25">
      <c r="A1565" s="6"/>
      <c r="B1565" s="21" t="s">
        <v>3415</v>
      </c>
      <c r="C1565" s="159" t="s">
        <v>3462</v>
      </c>
      <c r="D1565" s="161">
        <v>5130</v>
      </c>
      <c r="E1565" s="161">
        <v>38</v>
      </c>
      <c r="F1565" s="161">
        <v>135</v>
      </c>
      <c r="H1565" s="170" t="s">
        <v>138</v>
      </c>
      <c r="I1565" s="161">
        <v>40</v>
      </c>
      <c r="J1565" s="161" t="s">
        <v>105</v>
      </c>
      <c r="K1565" s="21" t="s">
        <v>106</v>
      </c>
      <c r="L1565" s="161" t="s">
        <v>3380</v>
      </c>
      <c r="M1565" s="21" t="s">
        <v>2107</v>
      </c>
      <c r="N1565" s="161" t="s">
        <v>67</v>
      </c>
      <c r="O1565" s="21" t="s">
        <v>3422</v>
      </c>
      <c r="P1565" s="161" t="s">
        <v>109</v>
      </c>
      <c r="Q1565" s="21" t="s">
        <v>70</v>
      </c>
      <c r="R1565" s="161">
        <v>80</v>
      </c>
      <c r="S1565" s="161" t="s">
        <v>3377</v>
      </c>
      <c r="U1565" s="161" t="s">
        <v>2007</v>
      </c>
      <c r="V1565" s="21" t="s">
        <v>74</v>
      </c>
      <c r="W1565" s="21" t="s">
        <v>3469</v>
      </c>
      <c r="X1565" s="161" t="s">
        <v>3452</v>
      </c>
      <c r="Y1565" s="161">
        <v>2E-3</v>
      </c>
      <c r="Z1565" s="161">
        <v>2.2000000000000002</v>
      </c>
      <c r="AA1565" s="161" t="s">
        <v>1933</v>
      </c>
      <c r="AB1565" s="161" t="s">
        <v>114</v>
      </c>
      <c r="AC1565" s="228" t="e">
        <f>HYPERLINK(#REF!,"ССЫЛКА")</f>
        <v>#REF!</v>
      </c>
      <c r="AD1565" s="88" t="e">
        <f>ROUNDUP(1.7*#REF!,0)</f>
        <v>#REF!</v>
      </c>
    </row>
    <row r="1566" spans="1:30" s="161" customFormat="1" ht="39.950000000000003" hidden="1" customHeight="1" outlineLevel="1" x14ac:dyDescent="0.25">
      <c r="A1566" s="6"/>
      <c r="B1566" s="21" t="s">
        <v>3415</v>
      </c>
      <c r="C1566" s="159" t="s">
        <v>3463</v>
      </c>
      <c r="D1566" s="161">
        <v>5730</v>
      </c>
      <c r="E1566" s="161">
        <v>47</v>
      </c>
      <c r="F1566" s="161">
        <v>122</v>
      </c>
      <c r="H1566" s="21" t="s">
        <v>3416</v>
      </c>
      <c r="I1566" s="161">
        <v>40</v>
      </c>
      <c r="J1566" s="161" t="s">
        <v>105</v>
      </c>
      <c r="K1566" s="21" t="s">
        <v>106</v>
      </c>
      <c r="L1566" s="161" t="s">
        <v>3380</v>
      </c>
      <c r="M1566" s="21" t="s">
        <v>2107</v>
      </c>
      <c r="N1566" s="161" t="s">
        <v>67</v>
      </c>
      <c r="O1566" s="21" t="s">
        <v>3420</v>
      </c>
      <c r="P1566" s="161" t="s">
        <v>109</v>
      </c>
      <c r="Q1566" s="21" t="s">
        <v>70</v>
      </c>
      <c r="R1566" s="161">
        <v>80</v>
      </c>
      <c r="S1566" s="161" t="s">
        <v>3377</v>
      </c>
      <c r="U1566" s="161" t="s">
        <v>2007</v>
      </c>
      <c r="V1566" s="21" t="s">
        <v>74</v>
      </c>
      <c r="W1566" s="21" t="s">
        <v>3469</v>
      </c>
      <c r="X1566" s="161" t="s">
        <v>3452</v>
      </c>
      <c r="Y1566" s="161">
        <v>2E-3</v>
      </c>
      <c r="Z1566" s="161">
        <v>2.2000000000000002</v>
      </c>
      <c r="AA1566" s="161" t="s">
        <v>1933</v>
      </c>
      <c r="AB1566" s="161" t="s">
        <v>114</v>
      </c>
      <c r="AC1566" s="228" t="e">
        <f>HYPERLINK(#REF!,"ССЫЛКА")</f>
        <v>#REF!</v>
      </c>
      <c r="AD1566" s="88" t="e">
        <f>ROUNDUP(1.7*#REF!,0)</f>
        <v>#REF!</v>
      </c>
    </row>
    <row r="1567" spans="1:30" s="161" customFormat="1" ht="39.950000000000003" hidden="1" customHeight="1" outlineLevel="1" x14ac:dyDescent="0.25">
      <c r="A1567" s="6"/>
      <c r="B1567" s="21" t="s">
        <v>3415</v>
      </c>
      <c r="C1567" s="159" t="s">
        <v>3464</v>
      </c>
      <c r="D1567" s="161">
        <v>5730</v>
      </c>
      <c r="E1567" s="161">
        <v>47</v>
      </c>
      <c r="F1567" s="161">
        <v>122</v>
      </c>
      <c r="H1567" s="21" t="s">
        <v>3417</v>
      </c>
      <c r="I1567" s="161">
        <v>40</v>
      </c>
      <c r="J1567" s="161" t="s">
        <v>105</v>
      </c>
      <c r="K1567" s="21" t="s">
        <v>106</v>
      </c>
      <c r="L1567" s="161" t="s">
        <v>3380</v>
      </c>
      <c r="M1567" s="21" t="s">
        <v>2107</v>
      </c>
      <c r="N1567" s="161" t="s">
        <v>67</v>
      </c>
      <c r="O1567" s="21" t="s">
        <v>3420</v>
      </c>
      <c r="P1567" s="161" t="s">
        <v>109</v>
      </c>
      <c r="Q1567" s="21" t="s">
        <v>70</v>
      </c>
      <c r="R1567" s="161">
        <v>80</v>
      </c>
      <c r="S1567" s="161" t="s">
        <v>3377</v>
      </c>
      <c r="U1567" s="161" t="s">
        <v>2007</v>
      </c>
      <c r="V1567" s="21" t="s">
        <v>74</v>
      </c>
      <c r="W1567" s="21" t="s">
        <v>3469</v>
      </c>
      <c r="X1567" s="161" t="s">
        <v>3452</v>
      </c>
      <c r="Y1567" s="161">
        <v>2E-3</v>
      </c>
      <c r="Z1567" s="161">
        <v>2.2000000000000002</v>
      </c>
      <c r="AA1567" s="161" t="s">
        <v>1933</v>
      </c>
      <c r="AB1567" s="161" t="s">
        <v>114</v>
      </c>
      <c r="AC1567" s="228" t="e">
        <f>HYPERLINK(#REF!,"ССЫЛКА")</f>
        <v>#REF!</v>
      </c>
      <c r="AD1567" s="88" t="e">
        <f>ROUNDUP(1.7*#REF!,0)</f>
        <v>#REF!</v>
      </c>
    </row>
    <row r="1568" spans="1:30" s="161" customFormat="1" ht="39.950000000000003" hidden="1" customHeight="1" outlineLevel="1" x14ac:dyDescent="0.25">
      <c r="A1568" s="6"/>
      <c r="B1568" s="21" t="s">
        <v>3415</v>
      </c>
      <c r="C1568" s="159" t="s">
        <v>3465</v>
      </c>
      <c r="D1568" s="161">
        <v>5730</v>
      </c>
      <c r="E1568" s="161">
        <v>47</v>
      </c>
      <c r="F1568" s="161">
        <v>122</v>
      </c>
      <c r="H1568" s="21" t="s">
        <v>3418</v>
      </c>
      <c r="I1568" s="161">
        <v>40</v>
      </c>
      <c r="J1568" s="161" t="s">
        <v>105</v>
      </c>
      <c r="K1568" s="21" t="s">
        <v>106</v>
      </c>
      <c r="L1568" s="161" t="s">
        <v>3380</v>
      </c>
      <c r="M1568" s="21" t="s">
        <v>2107</v>
      </c>
      <c r="N1568" s="161" t="s">
        <v>67</v>
      </c>
      <c r="O1568" s="21" t="s">
        <v>3420</v>
      </c>
      <c r="P1568" s="161" t="s">
        <v>109</v>
      </c>
      <c r="Q1568" s="21" t="s">
        <v>70</v>
      </c>
      <c r="R1568" s="161">
        <v>80</v>
      </c>
      <c r="S1568" s="161" t="s">
        <v>3377</v>
      </c>
      <c r="U1568" s="161" t="s">
        <v>2007</v>
      </c>
      <c r="V1568" s="21" t="s">
        <v>74</v>
      </c>
      <c r="W1568" s="21" t="s">
        <v>3469</v>
      </c>
      <c r="X1568" s="161" t="s">
        <v>3452</v>
      </c>
      <c r="Y1568" s="161">
        <v>2E-3</v>
      </c>
      <c r="Z1568" s="161">
        <v>2.2000000000000002</v>
      </c>
      <c r="AA1568" s="161" t="s">
        <v>1933</v>
      </c>
      <c r="AB1568" s="161" t="s">
        <v>114</v>
      </c>
      <c r="AC1568" s="228" t="e">
        <f>HYPERLINK(#REF!,"ССЫЛКА")</f>
        <v>#REF!</v>
      </c>
      <c r="AD1568" s="88" t="e">
        <f>ROUNDUP(1.7*#REF!,0)</f>
        <v>#REF!</v>
      </c>
    </row>
    <row r="1569" spans="1:30" s="161" customFormat="1" ht="39.950000000000003" hidden="1" customHeight="1" outlineLevel="1" x14ac:dyDescent="0.25">
      <c r="A1569" s="6"/>
      <c r="B1569" s="21" t="s">
        <v>3415</v>
      </c>
      <c r="C1569" s="159" t="s">
        <v>3466</v>
      </c>
      <c r="D1569" s="161">
        <v>5730</v>
      </c>
      <c r="E1569" s="161">
        <v>47</v>
      </c>
      <c r="F1569" s="161">
        <v>122</v>
      </c>
      <c r="H1569" s="21" t="s">
        <v>3419</v>
      </c>
      <c r="I1569" s="161">
        <v>40</v>
      </c>
      <c r="J1569" s="161" t="s">
        <v>105</v>
      </c>
      <c r="K1569" s="21" t="s">
        <v>106</v>
      </c>
      <c r="L1569" s="161" t="s">
        <v>3380</v>
      </c>
      <c r="M1569" s="21" t="s">
        <v>2107</v>
      </c>
      <c r="N1569" s="161" t="s">
        <v>67</v>
      </c>
      <c r="O1569" s="21" t="s">
        <v>3420</v>
      </c>
      <c r="P1569" s="161" t="s">
        <v>109</v>
      </c>
      <c r="Q1569" s="21" t="s">
        <v>70</v>
      </c>
      <c r="R1569" s="161">
        <v>80</v>
      </c>
      <c r="S1569" s="161" t="s">
        <v>3377</v>
      </c>
      <c r="U1569" s="161" t="s">
        <v>2007</v>
      </c>
      <c r="V1569" s="21" t="s">
        <v>74</v>
      </c>
      <c r="W1569" s="21" t="s">
        <v>3469</v>
      </c>
      <c r="X1569" s="161" t="s">
        <v>3452</v>
      </c>
      <c r="Y1569" s="161">
        <v>2E-3</v>
      </c>
      <c r="Z1569" s="161">
        <v>2.2000000000000002</v>
      </c>
      <c r="AA1569" s="161" t="s">
        <v>1933</v>
      </c>
      <c r="AB1569" s="161" t="s">
        <v>114</v>
      </c>
      <c r="AC1569" s="228" t="e">
        <f>HYPERLINK(#REF!,"ССЫЛКА")</f>
        <v>#REF!</v>
      </c>
      <c r="AD1569" s="88" t="e">
        <f>ROUNDUP(1.7*#REF!,0)</f>
        <v>#REF!</v>
      </c>
    </row>
    <row r="1570" spans="1:30" s="161" customFormat="1" ht="39.950000000000003" hidden="1" customHeight="1" outlineLevel="1" x14ac:dyDescent="0.25">
      <c r="A1570" s="6"/>
      <c r="B1570" s="21" t="s">
        <v>3415</v>
      </c>
      <c r="C1570" s="159" t="s">
        <v>3467</v>
      </c>
      <c r="D1570" s="161">
        <v>6110</v>
      </c>
      <c r="E1570" s="161">
        <v>47</v>
      </c>
      <c r="F1570" s="161">
        <v>130</v>
      </c>
      <c r="H1570" s="170" t="s">
        <v>138</v>
      </c>
      <c r="I1570" s="161">
        <v>40</v>
      </c>
      <c r="J1570" s="161" t="s">
        <v>105</v>
      </c>
      <c r="K1570" s="21" t="s">
        <v>106</v>
      </c>
      <c r="L1570" s="161" t="s">
        <v>3380</v>
      </c>
      <c r="M1570" s="21" t="s">
        <v>2107</v>
      </c>
      <c r="N1570" s="161" t="s">
        <v>67</v>
      </c>
      <c r="O1570" s="21" t="s">
        <v>3421</v>
      </c>
      <c r="P1570" s="161" t="s">
        <v>109</v>
      </c>
      <c r="Q1570" s="21" t="s">
        <v>70</v>
      </c>
      <c r="R1570" s="161">
        <v>80</v>
      </c>
      <c r="S1570" s="161" t="s">
        <v>3377</v>
      </c>
      <c r="U1570" s="161" t="s">
        <v>2007</v>
      </c>
      <c r="V1570" s="21" t="s">
        <v>74</v>
      </c>
      <c r="W1570" s="21" t="s">
        <v>3469</v>
      </c>
      <c r="X1570" s="161" t="s">
        <v>3452</v>
      </c>
      <c r="Y1570" s="161">
        <v>2E-3</v>
      </c>
      <c r="Z1570" s="161">
        <v>2.2000000000000002</v>
      </c>
      <c r="AA1570" s="161" t="s">
        <v>1933</v>
      </c>
      <c r="AB1570" s="161" t="s">
        <v>114</v>
      </c>
      <c r="AC1570" s="228" t="e">
        <f>HYPERLINK(#REF!,"ССЫЛКА")</f>
        <v>#REF!</v>
      </c>
      <c r="AD1570" s="88" t="e">
        <f>ROUNDUP(1.7*#REF!,0)</f>
        <v>#REF!</v>
      </c>
    </row>
    <row r="1571" spans="1:30" s="161" customFormat="1" ht="39.950000000000003" hidden="1" customHeight="1" outlineLevel="1" x14ac:dyDescent="0.25">
      <c r="A1571" s="6"/>
      <c r="B1571" s="21" t="s">
        <v>3415</v>
      </c>
      <c r="C1571" s="159" t="s">
        <v>3468</v>
      </c>
      <c r="D1571" s="161">
        <v>6110</v>
      </c>
      <c r="E1571" s="161">
        <v>47</v>
      </c>
      <c r="F1571" s="161">
        <v>130</v>
      </c>
      <c r="H1571" s="170" t="s">
        <v>138</v>
      </c>
      <c r="I1571" s="161">
        <v>40</v>
      </c>
      <c r="J1571" s="161" t="s">
        <v>105</v>
      </c>
      <c r="K1571" s="21" t="s">
        <v>106</v>
      </c>
      <c r="L1571" s="161" t="s">
        <v>3380</v>
      </c>
      <c r="M1571" s="21" t="s">
        <v>2107</v>
      </c>
      <c r="N1571" s="161" t="s">
        <v>67</v>
      </c>
      <c r="O1571" s="21" t="s">
        <v>3422</v>
      </c>
      <c r="P1571" s="161" t="s">
        <v>109</v>
      </c>
      <c r="Q1571" s="21" t="s">
        <v>70</v>
      </c>
      <c r="R1571" s="161">
        <v>80</v>
      </c>
      <c r="S1571" s="161" t="s">
        <v>3377</v>
      </c>
      <c r="U1571" s="161" t="s">
        <v>2007</v>
      </c>
      <c r="V1571" s="21" t="s">
        <v>74</v>
      </c>
      <c r="W1571" s="21" t="s">
        <v>3469</v>
      </c>
      <c r="X1571" s="161" t="s">
        <v>3452</v>
      </c>
      <c r="Y1571" s="161">
        <v>2E-3</v>
      </c>
      <c r="Z1571" s="161">
        <v>2.2000000000000002</v>
      </c>
      <c r="AA1571" s="161" t="s">
        <v>1933</v>
      </c>
      <c r="AB1571" s="161" t="s">
        <v>114</v>
      </c>
      <c r="AC1571" s="228" t="e">
        <f>HYPERLINK(#REF!,"ССЫЛКА")</f>
        <v>#REF!</v>
      </c>
      <c r="AD1571" s="88" t="e">
        <f>ROUNDUP(1.7*#REF!,0)</f>
        <v>#REF!</v>
      </c>
    </row>
    <row r="1572" spans="1:30" s="161" customFormat="1" ht="39.950000000000003" hidden="1" customHeight="1" outlineLevel="1" x14ac:dyDescent="0.25">
      <c r="A1572" s="21"/>
      <c r="B1572" s="21" t="s">
        <v>4256</v>
      </c>
      <c r="C1572" s="159" t="s">
        <v>4257</v>
      </c>
      <c r="D1572" s="161">
        <v>880</v>
      </c>
      <c r="E1572" s="161">
        <v>8</v>
      </c>
      <c r="F1572" s="161">
        <v>110</v>
      </c>
      <c r="G1572" s="161" t="s">
        <v>4258</v>
      </c>
      <c r="H1572" s="161" t="s">
        <v>138</v>
      </c>
      <c r="I1572" s="161">
        <v>66</v>
      </c>
      <c r="J1572" s="161" t="s">
        <v>389</v>
      </c>
      <c r="K1572" s="21" t="s">
        <v>2142</v>
      </c>
      <c r="L1572" s="161" t="s">
        <v>59</v>
      </c>
      <c r="M1572" s="21" t="s">
        <v>1719</v>
      </c>
      <c r="N1572" s="161" t="s">
        <v>2138</v>
      </c>
      <c r="O1572" s="21" t="s">
        <v>139</v>
      </c>
      <c r="P1572" s="161" t="s">
        <v>69</v>
      </c>
      <c r="Q1572" s="21" t="s">
        <v>70</v>
      </c>
      <c r="R1572" s="161">
        <v>80</v>
      </c>
      <c r="S1572" s="161" t="s">
        <v>2186</v>
      </c>
      <c r="T1572" s="161" t="s">
        <v>2187</v>
      </c>
      <c r="U1572" s="161" t="s">
        <v>73</v>
      </c>
      <c r="V1572" s="21" t="s">
        <v>74</v>
      </c>
      <c r="W1572" s="21" t="s">
        <v>4259</v>
      </c>
      <c r="X1572" s="161" t="s">
        <v>1557</v>
      </c>
      <c r="Y1572" s="161">
        <v>5.4599999999999996E-3</v>
      </c>
      <c r="Z1572" s="161">
        <v>0.8</v>
      </c>
      <c r="AA1572" s="161" t="s">
        <v>77</v>
      </c>
      <c r="AB1572" s="161" t="s">
        <v>114</v>
      </c>
      <c r="AC1572" s="233" t="e">
        <f>HYPERLINK(#REF!,"ССЫЛКА")</f>
        <v>#REF!</v>
      </c>
      <c r="AD1572" s="170" t="s">
        <v>2859</v>
      </c>
    </row>
    <row r="1573" spans="1:30" s="161" customFormat="1" ht="39.950000000000003" hidden="1" customHeight="1" outlineLevel="1" x14ac:dyDescent="0.25">
      <c r="A1573" s="21"/>
      <c r="B1573" s="21" t="s">
        <v>4256</v>
      </c>
      <c r="C1573" s="159" t="s">
        <v>4260</v>
      </c>
      <c r="D1573" s="161">
        <v>880</v>
      </c>
      <c r="E1573" s="161">
        <v>8</v>
      </c>
      <c r="F1573" s="161">
        <v>110</v>
      </c>
      <c r="G1573" s="161" t="s">
        <v>4261</v>
      </c>
      <c r="H1573" s="161" t="s">
        <v>138</v>
      </c>
      <c r="I1573" s="161">
        <v>66</v>
      </c>
      <c r="J1573" s="161" t="s">
        <v>389</v>
      </c>
      <c r="K1573" s="21" t="s">
        <v>1876</v>
      </c>
      <c r="L1573" s="161" t="s">
        <v>59</v>
      </c>
      <c r="M1573" s="21" t="s">
        <v>1719</v>
      </c>
      <c r="N1573" s="161" t="s">
        <v>2138</v>
      </c>
      <c r="O1573" s="21" t="s">
        <v>1553</v>
      </c>
      <c r="P1573" s="161" t="s">
        <v>69</v>
      </c>
      <c r="Q1573" s="21" t="s">
        <v>70</v>
      </c>
      <c r="R1573" s="161">
        <v>80</v>
      </c>
      <c r="S1573" s="161" t="s">
        <v>2186</v>
      </c>
      <c r="T1573" s="161" t="s">
        <v>2187</v>
      </c>
      <c r="U1573" s="161" t="s">
        <v>73</v>
      </c>
      <c r="V1573" s="21" t="s">
        <v>74</v>
      </c>
      <c r="W1573" s="21" t="s">
        <v>4259</v>
      </c>
      <c r="X1573" s="161" t="s">
        <v>1557</v>
      </c>
      <c r="Y1573" s="161">
        <v>5.4599999999999996E-3</v>
      </c>
      <c r="Z1573" s="161">
        <v>0.8</v>
      </c>
      <c r="AA1573" s="161" t="s">
        <v>77</v>
      </c>
      <c r="AB1573" s="161" t="s">
        <v>114</v>
      </c>
      <c r="AC1573" s="233" t="e">
        <f>HYPERLINK(#REF!,"ССЫЛКА")</f>
        <v>#REF!</v>
      </c>
      <c r="AD1573" s="170" t="s">
        <v>2859</v>
      </c>
    </row>
    <row r="1574" spans="1:30" s="161" customFormat="1" ht="39.950000000000003" hidden="1" customHeight="1" outlineLevel="1" x14ac:dyDescent="0.25">
      <c r="A1574" s="21"/>
      <c r="B1574" s="21" t="s">
        <v>4256</v>
      </c>
      <c r="C1574" s="159" t="s">
        <v>4262</v>
      </c>
      <c r="D1574" s="161">
        <v>880</v>
      </c>
      <c r="E1574" s="161">
        <v>8</v>
      </c>
      <c r="F1574" s="161">
        <v>110</v>
      </c>
      <c r="G1574" s="161" t="s">
        <v>4263</v>
      </c>
      <c r="H1574" s="161" t="s">
        <v>138</v>
      </c>
      <c r="I1574" s="161">
        <v>66</v>
      </c>
      <c r="J1574" s="161" t="s">
        <v>389</v>
      </c>
      <c r="K1574" s="21" t="s">
        <v>2149</v>
      </c>
      <c r="L1574" s="161" t="s">
        <v>59</v>
      </c>
      <c r="M1574" s="21" t="s">
        <v>1719</v>
      </c>
      <c r="N1574" s="161" t="s">
        <v>2138</v>
      </c>
      <c r="O1574" s="21" t="s">
        <v>1553</v>
      </c>
      <c r="P1574" s="161" t="s">
        <v>69</v>
      </c>
      <c r="Q1574" s="21" t="s">
        <v>70</v>
      </c>
      <c r="R1574" s="161">
        <v>80</v>
      </c>
      <c r="S1574" s="161" t="s">
        <v>2186</v>
      </c>
      <c r="T1574" s="161" t="s">
        <v>2187</v>
      </c>
      <c r="U1574" s="161" t="s">
        <v>73</v>
      </c>
      <c r="V1574" s="21" t="s">
        <v>74</v>
      </c>
      <c r="W1574" s="21" t="s">
        <v>4259</v>
      </c>
      <c r="X1574" s="161" t="s">
        <v>1557</v>
      </c>
      <c r="Y1574" s="161">
        <v>5.4599999999999996E-3</v>
      </c>
      <c r="Z1574" s="161">
        <v>0.8</v>
      </c>
      <c r="AA1574" s="161" t="s">
        <v>77</v>
      </c>
      <c r="AB1574" s="161" t="s">
        <v>114</v>
      </c>
      <c r="AC1574" s="233" t="e">
        <f>HYPERLINK(#REF!,"ССЫЛКА")</f>
        <v>#REF!</v>
      </c>
      <c r="AD1574" s="170" t="s">
        <v>2859</v>
      </c>
    </row>
    <row r="1575" spans="1:30" s="161" customFormat="1" ht="39.950000000000003" hidden="1" customHeight="1" outlineLevel="1" x14ac:dyDescent="0.25">
      <c r="A1575" s="21"/>
      <c r="B1575" s="21" t="s">
        <v>4256</v>
      </c>
      <c r="C1575" s="159" t="s">
        <v>4264</v>
      </c>
      <c r="D1575" s="161">
        <v>880</v>
      </c>
      <c r="E1575" s="161">
        <v>8</v>
      </c>
      <c r="F1575" s="161">
        <v>110</v>
      </c>
      <c r="G1575" s="161" t="s">
        <v>4265</v>
      </c>
      <c r="H1575" s="161" t="s">
        <v>138</v>
      </c>
      <c r="I1575" s="161">
        <v>66</v>
      </c>
      <c r="J1575" s="161" t="s">
        <v>389</v>
      </c>
      <c r="K1575" s="21" t="s">
        <v>2152</v>
      </c>
      <c r="L1575" s="161" t="s">
        <v>59</v>
      </c>
      <c r="M1575" s="21" t="s">
        <v>1719</v>
      </c>
      <c r="N1575" s="161" t="s">
        <v>2138</v>
      </c>
      <c r="O1575" s="21" t="s">
        <v>1553</v>
      </c>
      <c r="P1575" s="161" t="s">
        <v>69</v>
      </c>
      <c r="Q1575" s="21" t="s">
        <v>70</v>
      </c>
      <c r="R1575" s="161">
        <v>80</v>
      </c>
      <c r="S1575" s="161" t="s">
        <v>2186</v>
      </c>
      <c r="T1575" s="161" t="s">
        <v>2187</v>
      </c>
      <c r="U1575" s="161" t="s">
        <v>73</v>
      </c>
      <c r="V1575" s="21" t="s">
        <v>74</v>
      </c>
      <c r="W1575" s="21" t="s">
        <v>4259</v>
      </c>
      <c r="X1575" s="161" t="s">
        <v>1557</v>
      </c>
      <c r="Y1575" s="161">
        <v>5.4599999999999996E-3</v>
      </c>
      <c r="Z1575" s="161">
        <v>0.8</v>
      </c>
      <c r="AA1575" s="161" t="s">
        <v>77</v>
      </c>
      <c r="AB1575" s="161" t="s">
        <v>114</v>
      </c>
      <c r="AC1575" s="233" t="e">
        <f>HYPERLINK(#REF!,"ССЫЛКА")</f>
        <v>#REF!</v>
      </c>
      <c r="AD1575" s="170" t="s">
        <v>2859</v>
      </c>
    </row>
    <row r="1576" spans="1:30" s="161" customFormat="1" ht="39.950000000000003" hidden="1" customHeight="1" outlineLevel="1" x14ac:dyDescent="0.25">
      <c r="A1576" s="21"/>
      <c r="B1576" s="21" t="s">
        <v>4256</v>
      </c>
      <c r="C1576" s="159" t="s">
        <v>4266</v>
      </c>
      <c r="D1576" s="161">
        <v>880</v>
      </c>
      <c r="E1576" s="161">
        <v>8</v>
      </c>
      <c r="F1576" s="161">
        <v>110</v>
      </c>
      <c r="G1576" s="161" t="s">
        <v>4267</v>
      </c>
      <c r="H1576" s="161" t="s">
        <v>138</v>
      </c>
      <c r="I1576" s="161">
        <v>66</v>
      </c>
      <c r="J1576" s="161" t="s">
        <v>389</v>
      </c>
      <c r="K1576" s="21" t="s">
        <v>2155</v>
      </c>
      <c r="L1576" s="161" t="s">
        <v>59</v>
      </c>
      <c r="M1576" s="21" t="s">
        <v>1719</v>
      </c>
      <c r="N1576" s="161" t="s">
        <v>2138</v>
      </c>
      <c r="O1576" s="21" t="s">
        <v>1553</v>
      </c>
      <c r="P1576" s="161" t="s">
        <v>69</v>
      </c>
      <c r="Q1576" s="21" t="s">
        <v>70</v>
      </c>
      <c r="R1576" s="161">
        <v>80</v>
      </c>
      <c r="S1576" s="161" t="s">
        <v>2186</v>
      </c>
      <c r="T1576" s="161" t="s">
        <v>2187</v>
      </c>
      <c r="U1576" s="161" t="s">
        <v>73</v>
      </c>
      <c r="V1576" s="21" t="s">
        <v>74</v>
      </c>
      <c r="W1576" s="21" t="s">
        <v>4259</v>
      </c>
      <c r="X1576" s="161" t="s">
        <v>1557</v>
      </c>
      <c r="Y1576" s="161">
        <v>5.4599999999999996E-3</v>
      </c>
      <c r="Z1576" s="161">
        <v>0.8</v>
      </c>
      <c r="AA1576" s="161" t="s">
        <v>77</v>
      </c>
      <c r="AB1576" s="161" t="s">
        <v>114</v>
      </c>
      <c r="AC1576" s="233" t="e">
        <f>HYPERLINK(#REF!,"ССЫЛКА")</f>
        <v>#REF!</v>
      </c>
      <c r="AD1576" s="170" t="s">
        <v>2859</v>
      </c>
    </row>
    <row r="1577" spans="1:30" s="161" customFormat="1" ht="39.950000000000003" hidden="1" customHeight="1" outlineLevel="1" x14ac:dyDescent="0.25">
      <c r="A1577" s="21"/>
      <c r="B1577" s="21" t="s">
        <v>4256</v>
      </c>
      <c r="C1577" s="159" t="s">
        <v>4268</v>
      </c>
      <c r="D1577" s="161">
        <v>880</v>
      </c>
      <c r="E1577" s="161">
        <v>8</v>
      </c>
      <c r="F1577" s="161">
        <v>110</v>
      </c>
      <c r="G1577" s="161" t="s">
        <v>4269</v>
      </c>
      <c r="H1577" s="161" t="s">
        <v>138</v>
      </c>
      <c r="I1577" s="161">
        <v>66</v>
      </c>
      <c r="J1577" s="161" t="s">
        <v>389</v>
      </c>
      <c r="K1577" s="21" t="s">
        <v>2158</v>
      </c>
      <c r="L1577" s="161" t="s">
        <v>59</v>
      </c>
      <c r="M1577" s="21" t="s">
        <v>1719</v>
      </c>
      <c r="N1577" s="161" t="s">
        <v>2138</v>
      </c>
      <c r="O1577" s="21" t="s">
        <v>1553</v>
      </c>
      <c r="P1577" s="161" t="s">
        <v>69</v>
      </c>
      <c r="Q1577" s="21" t="s">
        <v>70</v>
      </c>
      <c r="R1577" s="161">
        <v>80</v>
      </c>
      <c r="S1577" s="161" t="s">
        <v>2186</v>
      </c>
      <c r="T1577" s="161" t="s">
        <v>2187</v>
      </c>
      <c r="U1577" s="161" t="s">
        <v>73</v>
      </c>
      <c r="V1577" s="21" t="s">
        <v>74</v>
      </c>
      <c r="W1577" s="21" t="s">
        <v>4259</v>
      </c>
      <c r="X1577" s="161" t="s">
        <v>1557</v>
      </c>
      <c r="Y1577" s="161">
        <v>5.4599999999999996E-3</v>
      </c>
      <c r="Z1577" s="161">
        <v>0.8</v>
      </c>
      <c r="AA1577" s="161" t="s">
        <v>77</v>
      </c>
      <c r="AB1577" s="161" t="s">
        <v>114</v>
      </c>
      <c r="AC1577" s="233" t="e">
        <f>HYPERLINK(#REF!,"ССЫЛКА")</f>
        <v>#REF!</v>
      </c>
      <c r="AD1577" s="170" t="s">
        <v>2859</v>
      </c>
    </row>
    <row r="1578" spans="1:30" s="161" customFormat="1" ht="39.950000000000003" hidden="1" customHeight="1" outlineLevel="1" x14ac:dyDescent="0.25">
      <c r="A1578" s="21"/>
      <c r="B1578" s="21" t="s">
        <v>4256</v>
      </c>
      <c r="C1578" s="159" t="s">
        <v>4270</v>
      </c>
      <c r="D1578" s="161">
        <v>1760</v>
      </c>
      <c r="E1578" s="161">
        <v>16</v>
      </c>
      <c r="F1578" s="161">
        <v>110</v>
      </c>
      <c r="G1578" s="161" t="s">
        <v>4271</v>
      </c>
      <c r="H1578" s="161" t="s">
        <v>138</v>
      </c>
      <c r="I1578" s="161">
        <v>66</v>
      </c>
      <c r="J1578" s="161" t="s">
        <v>389</v>
      </c>
      <c r="K1578" s="21" t="s">
        <v>2142</v>
      </c>
      <c r="L1578" s="161" t="s">
        <v>59</v>
      </c>
      <c r="M1578" s="21" t="s">
        <v>1719</v>
      </c>
      <c r="N1578" s="161" t="s">
        <v>2138</v>
      </c>
      <c r="O1578" s="21" t="s">
        <v>1553</v>
      </c>
      <c r="P1578" s="161" t="s">
        <v>69</v>
      </c>
      <c r="Q1578" s="21" t="s">
        <v>70</v>
      </c>
      <c r="R1578" s="161">
        <v>80</v>
      </c>
      <c r="S1578" s="161" t="s">
        <v>2200</v>
      </c>
      <c r="T1578" s="161" t="s">
        <v>2187</v>
      </c>
      <c r="U1578" s="161" t="s">
        <v>73</v>
      </c>
      <c r="V1578" s="21" t="s">
        <v>74</v>
      </c>
      <c r="W1578" s="21" t="s">
        <v>4272</v>
      </c>
      <c r="X1578" s="161" t="s">
        <v>1561</v>
      </c>
      <c r="Y1578" s="161">
        <v>9.5549999999999993E-3</v>
      </c>
      <c r="Z1578" s="161">
        <v>1.3</v>
      </c>
      <c r="AA1578" s="161" t="s">
        <v>77</v>
      </c>
      <c r="AB1578" s="161" t="s">
        <v>114</v>
      </c>
      <c r="AC1578" s="233" t="e">
        <f>HYPERLINK(#REF!,"ССЫЛКА")</f>
        <v>#REF!</v>
      </c>
      <c r="AD1578" s="170" t="s">
        <v>2859</v>
      </c>
    </row>
    <row r="1579" spans="1:30" s="161" customFormat="1" ht="39.950000000000003" hidden="1" customHeight="1" outlineLevel="1" x14ac:dyDescent="0.25">
      <c r="A1579" s="21"/>
      <c r="B1579" s="21" t="s">
        <v>4256</v>
      </c>
      <c r="C1579" s="159" t="s">
        <v>4273</v>
      </c>
      <c r="D1579" s="161">
        <v>1760</v>
      </c>
      <c r="E1579" s="161">
        <v>16</v>
      </c>
      <c r="F1579" s="161">
        <v>110</v>
      </c>
      <c r="G1579" s="161" t="s">
        <v>4274</v>
      </c>
      <c r="H1579" s="161" t="s">
        <v>138</v>
      </c>
      <c r="I1579" s="161">
        <v>66</v>
      </c>
      <c r="J1579" s="161" t="s">
        <v>389</v>
      </c>
      <c r="K1579" s="21" t="s">
        <v>1876</v>
      </c>
      <c r="L1579" s="161" t="s">
        <v>59</v>
      </c>
      <c r="M1579" s="21" t="s">
        <v>1719</v>
      </c>
      <c r="N1579" s="161" t="s">
        <v>2138</v>
      </c>
      <c r="O1579" s="21" t="s">
        <v>1553</v>
      </c>
      <c r="P1579" s="161" t="s">
        <v>69</v>
      </c>
      <c r="Q1579" s="21" t="s">
        <v>70</v>
      </c>
      <c r="R1579" s="161">
        <v>80</v>
      </c>
      <c r="S1579" s="161" t="s">
        <v>2200</v>
      </c>
      <c r="T1579" s="161" t="s">
        <v>2187</v>
      </c>
      <c r="U1579" s="161" t="s">
        <v>73</v>
      </c>
      <c r="V1579" s="21" t="s">
        <v>74</v>
      </c>
      <c r="W1579" s="21" t="s">
        <v>4272</v>
      </c>
      <c r="X1579" s="161" t="s">
        <v>1561</v>
      </c>
      <c r="Y1579" s="161">
        <v>9.5549999999999993E-3</v>
      </c>
      <c r="Z1579" s="161">
        <v>1.3</v>
      </c>
      <c r="AA1579" s="161" t="s">
        <v>77</v>
      </c>
      <c r="AB1579" s="161" t="s">
        <v>114</v>
      </c>
      <c r="AC1579" s="233" t="e">
        <f>HYPERLINK(#REF!,"ССЫЛКА")</f>
        <v>#REF!</v>
      </c>
      <c r="AD1579" s="170" t="s">
        <v>2859</v>
      </c>
    </row>
    <row r="1580" spans="1:30" s="161" customFormat="1" ht="39.950000000000003" hidden="1" customHeight="1" outlineLevel="1" x14ac:dyDescent="0.25">
      <c r="A1580" s="21"/>
      <c r="B1580" s="21" t="s">
        <v>4256</v>
      </c>
      <c r="C1580" s="159" t="s">
        <v>4275</v>
      </c>
      <c r="D1580" s="161">
        <v>1760</v>
      </c>
      <c r="E1580" s="161">
        <v>16</v>
      </c>
      <c r="F1580" s="161">
        <v>110</v>
      </c>
      <c r="G1580" s="161" t="s">
        <v>4276</v>
      </c>
      <c r="H1580" s="161" t="s">
        <v>138</v>
      </c>
      <c r="I1580" s="161">
        <v>66</v>
      </c>
      <c r="J1580" s="161" t="s">
        <v>389</v>
      </c>
      <c r="K1580" s="21" t="s">
        <v>2149</v>
      </c>
      <c r="L1580" s="161" t="s">
        <v>59</v>
      </c>
      <c r="M1580" s="21" t="s">
        <v>1719</v>
      </c>
      <c r="N1580" s="161" t="s">
        <v>2138</v>
      </c>
      <c r="O1580" s="21" t="s">
        <v>1553</v>
      </c>
      <c r="P1580" s="161" t="s">
        <v>69</v>
      </c>
      <c r="Q1580" s="21" t="s">
        <v>70</v>
      </c>
      <c r="R1580" s="161">
        <v>80</v>
      </c>
      <c r="S1580" s="161" t="s">
        <v>2200</v>
      </c>
      <c r="T1580" s="161" t="s">
        <v>2187</v>
      </c>
      <c r="U1580" s="161" t="s">
        <v>73</v>
      </c>
      <c r="V1580" s="21" t="s">
        <v>74</v>
      </c>
      <c r="W1580" s="21" t="s">
        <v>4272</v>
      </c>
      <c r="X1580" s="161" t="s">
        <v>1561</v>
      </c>
      <c r="Y1580" s="161">
        <v>9.5549999999999993E-3</v>
      </c>
      <c r="Z1580" s="161">
        <v>1.3</v>
      </c>
      <c r="AA1580" s="161" t="s">
        <v>77</v>
      </c>
      <c r="AB1580" s="161" t="s">
        <v>114</v>
      </c>
      <c r="AC1580" s="233" t="e">
        <f>HYPERLINK(#REF!,"ССЫЛКА")</f>
        <v>#REF!</v>
      </c>
      <c r="AD1580" s="170" t="s">
        <v>2859</v>
      </c>
    </row>
    <row r="1581" spans="1:30" s="161" customFormat="1" ht="39.950000000000003" hidden="1" customHeight="1" outlineLevel="1" x14ac:dyDescent="0.25">
      <c r="A1581" s="21"/>
      <c r="B1581" s="21" t="s">
        <v>4256</v>
      </c>
      <c r="C1581" s="159" t="s">
        <v>4277</v>
      </c>
      <c r="D1581" s="161">
        <v>1760</v>
      </c>
      <c r="E1581" s="161">
        <v>16</v>
      </c>
      <c r="F1581" s="161">
        <v>110</v>
      </c>
      <c r="G1581" s="161" t="s">
        <v>4278</v>
      </c>
      <c r="H1581" s="161" t="s">
        <v>138</v>
      </c>
      <c r="I1581" s="161">
        <v>66</v>
      </c>
      <c r="J1581" s="161" t="s">
        <v>389</v>
      </c>
      <c r="K1581" s="21" t="s">
        <v>2152</v>
      </c>
      <c r="L1581" s="161" t="s">
        <v>59</v>
      </c>
      <c r="M1581" s="21" t="s">
        <v>1719</v>
      </c>
      <c r="N1581" s="161" t="s">
        <v>2138</v>
      </c>
      <c r="O1581" s="21" t="s">
        <v>1553</v>
      </c>
      <c r="P1581" s="161" t="s">
        <v>69</v>
      </c>
      <c r="Q1581" s="21" t="s">
        <v>70</v>
      </c>
      <c r="R1581" s="161">
        <v>80</v>
      </c>
      <c r="S1581" s="161" t="s">
        <v>2200</v>
      </c>
      <c r="T1581" s="161" t="s">
        <v>2187</v>
      </c>
      <c r="U1581" s="161" t="s">
        <v>73</v>
      </c>
      <c r="V1581" s="21" t="s">
        <v>74</v>
      </c>
      <c r="W1581" s="21" t="s">
        <v>4272</v>
      </c>
      <c r="X1581" s="161" t="s">
        <v>1561</v>
      </c>
      <c r="Y1581" s="161">
        <v>9.5549999999999993E-3</v>
      </c>
      <c r="Z1581" s="161">
        <v>1.3</v>
      </c>
      <c r="AA1581" s="161" t="s">
        <v>77</v>
      </c>
      <c r="AB1581" s="161" t="s">
        <v>114</v>
      </c>
      <c r="AC1581" s="233" t="e">
        <f>HYPERLINK(#REF!,"ССЫЛКА")</f>
        <v>#REF!</v>
      </c>
      <c r="AD1581" s="170" t="s">
        <v>2859</v>
      </c>
    </row>
    <row r="1582" spans="1:30" s="161" customFormat="1" ht="39.950000000000003" hidden="1" customHeight="1" outlineLevel="1" x14ac:dyDescent="0.25">
      <c r="A1582" s="21"/>
      <c r="B1582" s="21" t="s">
        <v>4256</v>
      </c>
      <c r="C1582" s="159" t="s">
        <v>4279</v>
      </c>
      <c r="D1582" s="161">
        <v>1760</v>
      </c>
      <c r="E1582" s="161">
        <v>16</v>
      </c>
      <c r="F1582" s="161">
        <v>110</v>
      </c>
      <c r="G1582" s="161" t="s">
        <v>4280</v>
      </c>
      <c r="H1582" s="161" t="s">
        <v>138</v>
      </c>
      <c r="I1582" s="161">
        <v>66</v>
      </c>
      <c r="J1582" s="161" t="s">
        <v>389</v>
      </c>
      <c r="K1582" s="21" t="s">
        <v>2155</v>
      </c>
      <c r="L1582" s="161" t="s">
        <v>59</v>
      </c>
      <c r="M1582" s="21" t="s">
        <v>1719</v>
      </c>
      <c r="N1582" s="161" t="s">
        <v>2138</v>
      </c>
      <c r="O1582" s="21" t="s">
        <v>1553</v>
      </c>
      <c r="P1582" s="161" t="s">
        <v>69</v>
      </c>
      <c r="Q1582" s="21" t="s">
        <v>70</v>
      </c>
      <c r="R1582" s="161">
        <v>80</v>
      </c>
      <c r="S1582" s="161" t="s">
        <v>2200</v>
      </c>
      <c r="T1582" s="161" t="s">
        <v>2187</v>
      </c>
      <c r="U1582" s="161" t="s">
        <v>73</v>
      </c>
      <c r="V1582" s="21" t="s">
        <v>74</v>
      </c>
      <c r="W1582" s="21" t="s">
        <v>4272</v>
      </c>
      <c r="X1582" s="161" t="s">
        <v>1561</v>
      </c>
      <c r="Y1582" s="161">
        <v>9.5549999999999993E-3</v>
      </c>
      <c r="Z1582" s="161">
        <v>1.3</v>
      </c>
      <c r="AA1582" s="161" t="s">
        <v>77</v>
      </c>
      <c r="AB1582" s="161" t="s">
        <v>114</v>
      </c>
      <c r="AC1582" s="233" t="e">
        <f>HYPERLINK(#REF!,"ССЫЛКА")</f>
        <v>#REF!</v>
      </c>
      <c r="AD1582" s="170" t="s">
        <v>2859</v>
      </c>
    </row>
    <row r="1583" spans="1:30" s="161" customFormat="1" ht="39.950000000000003" hidden="1" customHeight="1" outlineLevel="1" x14ac:dyDescent="0.25">
      <c r="A1583" s="21"/>
      <c r="B1583" s="21" t="s">
        <v>4256</v>
      </c>
      <c r="C1583" s="159" t="s">
        <v>4281</v>
      </c>
      <c r="D1583" s="161">
        <v>1760</v>
      </c>
      <c r="E1583" s="161">
        <v>16</v>
      </c>
      <c r="F1583" s="161">
        <v>110</v>
      </c>
      <c r="G1583" s="161" t="s">
        <v>4282</v>
      </c>
      <c r="H1583" s="161" t="s">
        <v>138</v>
      </c>
      <c r="I1583" s="161">
        <v>66</v>
      </c>
      <c r="J1583" s="161" t="s">
        <v>389</v>
      </c>
      <c r="K1583" s="21" t="s">
        <v>2158</v>
      </c>
      <c r="L1583" s="161" t="s">
        <v>59</v>
      </c>
      <c r="M1583" s="21" t="s">
        <v>1719</v>
      </c>
      <c r="N1583" s="161" t="s">
        <v>2138</v>
      </c>
      <c r="O1583" s="21" t="s">
        <v>1553</v>
      </c>
      <c r="P1583" s="161" t="s">
        <v>69</v>
      </c>
      <c r="Q1583" s="21" t="s">
        <v>70</v>
      </c>
      <c r="R1583" s="161">
        <v>80</v>
      </c>
      <c r="S1583" s="161" t="s">
        <v>2200</v>
      </c>
      <c r="T1583" s="161" t="s">
        <v>2187</v>
      </c>
      <c r="U1583" s="161" t="s">
        <v>73</v>
      </c>
      <c r="V1583" s="21" t="s">
        <v>74</v>
      </c>
      <c r="W1583" s="21" t="s">
        <v>4272</v>
      </c>
      <c r="X1583" s="161" t="s">
        <v>1561</v>
      </c>
      <c r="Y1583" s="161">
        <v>9.5549999999999993E-3</v>
      </c>
      <c r="Z1583" s="161">
        <v>1.3</v>
      </c>
      <c r="AA1583" s="161" t="s">
        <v>77</v>
      </c>
      <c r="AB1583" s="161" t="s">
        <v>114</v>
      </c>
      <c r="AC1583" s="233" t="e">
        <f>HYPERLINK(#REF!,"ССЫЛКА")</f>
        <v>#REF!</v>
      </c>
      <c r="AD1583" s="170" t="s">
        <v>2859</v>
      </c>
    </row>
    <row r="1584" spans="1:30" s="161" customFormat="1" ht="39.950000000000003" hidden="1" customHeight="1" outlineLevel="1" x14ac:dyDescent="0.25">
      <c r="A1584" s="21"/>
      <c r="B1584" s="21" t="s">
        <v>4256</v>
      </c>
      <c r="C1584" s="159" t="s">
        <v>4283</v>
      </c>
      <c r="D1584" s="161">
        <v>2640</v>
      </c>
      <c r="E1584" s="161">
        <v>24</v>
      </c>
      <c r="F1584" s="161">
        <v>110</v>
      </c>
      <c r="G1584" s="161" t="s">
        <v>4284</v>
      </c>
      <c r="H1584" s="161" t="s">
        <v>138</v>
      </c>
      <c r="I1584" s="161">
        <v>66</v>
      </c>
      <c r="J1584" s="161" t="s">
        <v>389</v>
      </c>
      <c r="K1584" s="21" t="s">
        <v>2142</v>
      </c>
      <c r="L1584" s="161" t="s">
        <v>59</v>
      </c>
      <c r="M1584" s="21" t="s">
        <v>1719</v>
      </c>
      <c r="N1584" s="161" t="s">
        <v>2138</v>
      </c>
      <c r="O1584" s="21" t="s">
        <v>1553</v>
      </c>
      <c r="P1584" s="161" t="s">
        <v>69</v>
      </c>
      <c r="Q1584" s="21" t="s">
        <v>70</v>
      </c>
      <c r="R1584" s="161">
        <v>80</v>
      </c>
      <c r="S1584" s="161" t="s">
        <v>2213</v>
      </c>
      <c r="T1584" s="161" t="s">
        <v>2187</v>
      </c>
      <c r="U1584" s="161" t="s">
        <v>73</v>
      </c>
      <c r="V1584" s="21" t="s">
        <v>74</v>
      </c>
      <c r="W1584" s="21" t="s">
        <v>4272</v>
      </c>
      <c r="X1584" s="161" t="s">
        <v>1565</v>
      </c>
      <c r="Y1584" s="161">
        <v>1.3520000000000001E-2</v>
      </c>
      <c r="Z1584" s="161">
        <v>1.7</v>
      </c>
      <c r="AA1584" s="161" t="s">
        <v>77</v>
      </c>
      <c r="AB1584" s="161" t="s">
        <v>114</v>
      </c>
      <c r="AC1584" s="233" t="e">
        <f>HYPERLINK(#REF!,"ССЫЛКА")</f>
        <v>#REF!</v>
      </c>
      <c r="AD1584" s="170" t="s">
        <v>2859</v>
      </c>
    </row>
    <row r="1585" spans="1:30" s="161" customFormat="1" ht="39.950000000000003" hidden="1" customHeight="1" outlineLevel="1" x14ac:dyDescent="0.25">
      <c r="A1585" s="21"/>
      <c r="B1585" s="21" t="s">
        <v>4256</v>
      </c>
      <c r="C1585" s="159" t="s">
        <v>4285</v>
      </c>
      <c r="D1585" s="161">
        <v>2640</v>
      </c>
      <c r="E1585" s="161">
        <v>24</v>
      </c>
      <c r="F1585" s="161">
        <v>110</v>
      </c>
      <c r="G1585" s="161" t="s">
        <v>4286</v>
      </c>
      <c r="H1585" s="161" t="s">
        <v>138</v>
      </c>
      <c r="I1585" s="161">
        <v>66</v>
      </c>
      <c r="J1585" s="161" t="s">
        <v>389</v>
      </c>
      <c r="K1585" s="21" t="s">
        <v>1876</v>
      </c>
      <c r="L1585" s="161" t="s">
        <v>59</v>
      </c>
      <c r="M1585" s="21" t="s">
        <v>1719</v>
      </c>
      <c r="N1585" s="161" t="s">
        <v>2138</v>
      </c>
      <c r="O1585" s="21" t="s">
        <v>1553</v>
      </c>
      <c r="P1585" s="161" t="s">
        <v>69</v>
      </c>
      <c r="Q1585" s="21" t="s">
        <v>70</v>
      </c>
      <c r="R1585" s="161">
        <v>80</v>
      </c>
      <c r="S1585" s="161" t="s">
        <v>2213</v>
      </c>
      <c r="T1585" s="161" t="s">
        <v>2187</v>
      </c>
      <c r="U1585" s="161" t="s">
        <v>73</v>
      </c>
      <c r="V1585" s="21" t="s">
        <v>74</v>
      </c>
      <c r="W1585" s="21" t="s">
        <v>4272</v>
      </c>
      <c r="X1585" s="161" t="s">
        <v>1565</v>
      </c>
      <c r="Y1585" s="161">
        <v>1.3520000000000001E-2</v>
      </c>
      <c r="Z1585" s="161">
        <v>1.7</v>
      </c>
      <c r="AA1585" s="161" t="s">
        <v>77</v>
      </c>
      <c r="AB1585" s="161" t="s">
        <v>114</v>
      </c>
      <c r="AC1585" s="233" t="e">
        <f>HYPERLINK(#REF!,"ССЫЛКА")</f>
        <v>#REF!</v>
      </c>
      <c r="AD1585" s="170" t="s">
        <v>2859</v>
      </c>
    </row>
    <row r="1586" spans="1:30" s="161" customFormat="1" ht="39.950000000000003" hidden="1" customHeight="1" outlineLevel="1" x14ac:dyDescent="0.25">
      <c r="A1586" s="21"/>
      <c r="B1586" s="21" t="s">
        <v>4256</v>
      </c>
      <c r="C1586" s="159" t="s">
        <v>4287</v>
      </c>
      <c r="D1586" s="161">
        <v>2640</v>
      </c>
      <c r="E1586" s="161">
        <v>24</v>
      </c>
      <c r="F1586" s="161">
        <v>110</v>
      </c>
      <c r="G1586" s="161" t="s">
        <v>4288</v>
      </c>
      <c r="H1586" s="161" t="s">
        <v>138</v>
      </c>
      <c r="I1586" s="161">
        <v>66</v>
      </c>
      <c r="J1586" s="161" t="s">
        <v>389</v>
      </c>
      <c r="K1586" s="21" t="s">
        <v>2149</v>
      </c>
      <c r="L1586" s="161" t="s">
        <v>59</v>
      </c>
      <c r="M1586" s="21" t="s">
        <v>1719</v>
      </c>
      <c r="N1586" s="161" t="s">
        <v>2138</v>
      </c>
      <c r="O1586" s="21" t="s">
        <v>1553</v>
      </c>
      <c r="P1586" s="161" t="s">
        <v>69</v>
      </c>
      <c r="Q1586" s="21" t="s">
        <v>70</v>
      </c>
      <c r="R1586" s="161">
        <v>80</v>
      </c>
      <c r="S1586" s="161" t="s">
        <v>2213</v>
      </c>
      <c r="T1586" s="161" t="s">
        <v>2187</v>
      </c>
      <c r="U1586" s="161" t="s">
        <v>73</v>
      </c>
      <c r="V1586" s="21" t="s">
        <v>74</v>
      </c>
      <c r="W1586" s="21" t="s">
        <v>4272</v>
      </c>
      <c r="X1586" s="161" t="s">
        <v>1565</v>
      </c>
      <c r="Y1586" s="161">
        <v>1.3520000000000001E-2</v>
      </c>
      <c r="Z1586" s="161">
        <v>1.7</v>
      </c>
      <c r="AA1586" s="161" t="s">
        <v>77</v>
      </c>
      <c r="AB1586" s="161" t="s">
        <v>114</v>
      </c>
      <c r="AC1586" s="233" t="e">
        <f>HYPERLINK(#REF!,"ССЫЛКА")</f>
        <v>#REF!</v>
      </c>
      <c r="AD1586" s="170" t="s">
        <v>2859</v>
      </c>
    </row>
    <row r="1587" spans="1:30" s="161" customFormat="1" ht="39.950000000000003" hidden="1" customHeight="1" outlineLevel="1" x14ac:dyDescent="0.25">
      <c r="A1587" s="21"/>
      <c r="B1587" s="21" t="s">
        <v>4256</v>
      </c>
      <c r="C1587" s="159" t="s">
        <v>4289</v>
      </c>
      <c r="D1587" s="161">
        <v>2640</v>
      </c>
      <c r="E1587" s="161">
        <v>24</v>
      </c>
      <c r="F1587" s="161">
        <v>110</v>
      </c>
      <c r="G1587" s="161" t="s">
        <v>4290</v>
      </c>
      <c r="H1587" s="161" t="s">
        <v>138</v>
      </c>
      <c r="I1587" s="161">
        <v>66</v>
      </c>
      <c r="J1587" s="161" t="s">
        <v>389</v>
      </c>
      <c r="K1587" s="21" t="s">
        <v>2152</v>
      </c>
      <c r="L1587" s="161" t="s">
        <v>59</v>
      </c>
      <c r="M1587" s="21" t="s">
        <v>1719</v>
      </c>
      <c r="N1587" s="161" t="s">
        <v>2138</v>
      </c>
      <c r="O1587" s="21" t="s">
        <v>1553</v>
      </c>
      <c r="P1587" s="161" t="s">
        <v>69</v>
      </c>
      <c r="Q1587" s="21" t="s">
        <v>70</v>
      </c>
      <c r="R1587" s="161">
        <v>80</v>
      </c>
      <c r="S1587" s="161" t="s">
        <v>2213</v>
      </c>
      <c r="T1587" s="161" t="s">
        <v>2187</v>
      </c>
      <c r="U1587" s="161" t="s">
        <v>73</v>
      </c>
      <c r="V1587" s="21" t="s">
        <v>74</v>
      </c>
      <c r="W1587" s="21" t="s">
        <v>4272</v>
      </c>
      <c r="X1587" s="161" t="s">
        <v>1565</v>
      </c>
      <c r="Y1587" s="161">
        <v>1.3520000000000001E-2</v>
      </c>
      <c r="Z1587" s="161">
        <v>1.7</v>
      </c>
      <c r="AA1587" s="161" t="s">
        <v>77</v>
      </c>
      <c r="AB1587" s="161" t="s">
        <v>114</v>
      </c>
      <c r="AC1587" s="233" t="e">
        <f>HYPERLINK(#REF!,"ССЫЛКА")</f>
        <v>#REF!</v>
      </c>
      <c r="AD1587" s="170" t="s">
        <v>2859</v>
      </c>
    </row>
    <row r="1588" spans="1:30" s="161" customFormat="1" ht="39.950000000000003" hidden="1" customHeight="1" outlineLevel="1" x14ac:dyDescent="0.25">
      <c r="A1588" s="21"/>
      <c r="B1588" s="21" t="s">
        <v>4256</v>
      </c>
      <c r="C1588" s="159" t="s">
        <v>4291</v>
      </c>
      <c r="D1588" s="161">
        <v>2640</v>
      </c>
      <c r="E1588" s="161">
        <v>24</v>
      </c>
      <c r="F1588" s="161">
        <v>110</v>
      </c>
      <c r="G1588" s="161" t="s">
        <v>4292</v>
      </c>
      <c r="H1588" s="161" t="s">
        <v>138</v>
      </c>
      <c r="I1588" s="161">
        <v>66</v>
      </c>
      <c r="J1588" s="161" t="s">
        <v>389</v>
      </c>
      <c r="K1588" s="21" t="s">
        <v>2155</v>
      </c>
      <c r="L1588" s="161" t="s">
        <v>59</v>
      </c>
      <c r="M1588" s="21" t="s">
        <v>1719</v>
      </c>
      <c r="N1588" s="161" t="s">
        <v>2138</v>
      </c>
      <c r="O1588" s="21" t="s">
        <v>1553</v>
      </c>
      <c r="P1588" s="161" t="s">
        <v>69</v>
      </c>
      <c r="Q1588" s="21" t="s">
        <v>70</v>
      </c>
      <c r="R1588" s="161">
        <v>80</v>
      </c>
      <c r="S1588" s="161" t="s">
        <v>2213</v>
      </c>
      <c r="T1588" s="161" t="s">
        <v>2187</v>
      </c>
      <c r="U1588" s="161" t="s">
        <v>73</v>
      </c>
      <c r="V1588" s="21" t="s">
        <v>74</v>
      </c>
      <c r="W1588" s="21" t="s">
        <v>4272</v>
      </c>
      <c r="X1588" s="161" t="s">
        <v>1565</v>
      </c>
      <c r="Y1588" s="161">
        <v>1.3520000000000001E-2</v>
      </c>
      <c r="Z1588" s="161">
        <v>1.7</v>
      </c>
      <c r="AA1588" s="161" t="s">
        <v>77</v>
      </c>
      <c r="AB1588" s="161" t="s">
        <v>114</v>
      </c>
      <c r="AC1588" s="233" t="e">
        <f>HYPERLINK(#REF!,"ССЫЛКА")</f>
        <v>#REF!</v>
      </c>
      <c r="AD1588" s="170" t="s">
        <v>2859</v>
      </c>
    </row>
    <row r="1589" spans="1:30" s="161" customFormat="1" ht="39.950000000000003" hidden="1" customHeight="1" outlineLevel="1" x14ac:dyDescent="0.25">
      <c r="A1589" s="21"/>
      <c r="B1589" s="21" t="s">
        <v>4256</v>
      </c>
      <c r="C1589" s="159" t="s">
        <v>4293</v>
      </c>
      <c r="D1589" s="161">
        <v>2640</v>
      </c>
      <c r="E1589" s="161">
        <v>24</v>
      </c>
      <c r="F1589" s="161">
        <v>110</v>
      </c>
      <c r="G1589" s="161" t="s">
        <v>4294</v>
      </c>
      <c r="H1589" s="161" t="s">
        <v>138</v>
      </c>
      <c r="I1589" s="161">
        <v>66</v>
      </c>
      <c r="J1589" s="161" t="s">
        <v>389</v>
      </c>
      <c r="K1589" s="21" t="s">
        <v>2158</v>
      </c>
      <c r="L1589" s="161" t="s">
        <v>59</v>
      </c>
      <c r="M1589" s="21" t="s">
        <v>1719</v>
      </c>
      <c r="N1589" s="161" t="s">
        <v>2138</v>
      </c>
      <c r="O1589" s="21" t="s">
        <v>1553</v>
      </c>
      <c r="P1589" s="161" t="s">
        <v>69</v>
      </c>
      <c r="Q1589" s="21" t="s">
        <v>70</v>
      </c>
      <c r="R1589" s="161">
        <v>80</v>
      </c>
      <c r="S1589" s="161" t="s">
        <v>2213</v>
      </c>
      <c r="T1589" s="161" t="s">
        <v>2187</v>
      </c>
      <c r="U1589" s="161" t="s">
        <v>73</v>
      </c>
      <c r="V1589" s="21" t="s">
        <v>74</v>
      </c>
      <c r="W1589" s="21" t="s">
        <v>4272</v>
      </c>
      <c r="X1589" s="161" t="s">
        <v>1565</v>
      </c>
      <c r="Y1589" s="161">
        <v>1.3520000000000001E-2</v>
      </c>
      <c r="Z1589" s="161">
        <v>1.7</v>
      </c>
      <c r="AA1589" s="161" t="s">
        <v>77</v>
      </c>
      <c r="AB1589" s="161" t="s">
        <v>114</v>
      </c>
      <c r="AC1589" s="233" t="e">
        <f>HYPERLINK(#REF!,"ССЫЛКА")</f>
        <v>#REF!</v>
      </c>
      <c r="AD1589" s="170" t="s">
        <v>2859</v>
      </c>
    </row>
    <row r="1590" spans="1:30" s="161" customFormat="1" ht="39.950000000000003" hidden="1" customHeight="1" outlineLevel="1" x14ac:dyDescent="0.25">
      <c r="A1590" s="21"/>
      <c r="B1590" s="21" t="s">
        <v>4256</v>
      </c>
      <c r="C1590" s="159" t="s">
        <v>4295</v>
      </c>
      <c r="D1590" s="161">
        <v>3520</v>
      </c>
      <c r="E1590" s="161">
        <v>32</v>
      </c>
      <c r="F1590" s="161">
        <v>110</v>
      </c>
      <c r="G1590" s="161" t="s">
        <v>4296</v>
      </c>
      <c r="H1590" s="161" t="s">
        <v>138</v>
      </c>
      <c r="I1590" s="161">
        <v>66</v>
      </c>
      <c r="J1590" s="161" t="s">
        <v>389</v>
      </c>
      <c r="K1590" s="21" t="s">
        <v>2142</v>
      </c>
      <c r="L1590" s="161" t="s">
        <v>59</v>
      </c>
      <c r="M1590" s="21" t="s">
        <v>1719</v>
      </c>
      <c r="N1590" s="161" t="s">
        <v>2138</v>
      </c>
      <c r="O1590" s="21" t="s">
        <v>1553</v>
      </c>
      <c r="P1590" s="161" t="s">
        <v>69</v>
      </c>
      <c r="Q1590" s="21" t="s">
        <v>70</v>
      </c>
      <c r="R1590" s="161">
        <v>80</v>
      </c>
      <c r="S1590" s="161" t="s">
        <v>2226</v>
      </c>
      <c r="T1590" s="161" t="s">
        <v>2187</v>
      </c>
      <c r="U1590" s="161" t="s">
        <v>73</v>
      </c>
      <c r="V1590" s="21" t="s">
        <v>74</v>
      </c>
      <c r="W1590" s="21" t="s">
        <v>4272</v>
      </c>
      <c r="X1590" s="161" t="s">
        <v>1569</v>
      </c>
      <c r="Y1590" s="161">
        <v>1.7420000000000001E-2</v>
      </c>
      <c r="Z1590" s="161">
        <v>2.1</v>
      </c>
      <c r="AA1590" s="161" t="s">
        <v>77</v>
      </c>
      <c r="AB1590" s="161" t="s">
        <v>114</v>
      </c>
      <c r="AC1590" s="233" t="e">
        <f>HYPERLINK(#REF!,"ССЫЛКА")</f>
        <v>#REF!</v>
      </c>
      <c r="AD1590" s="170" t="s">
        <v>2859</v>
      </c>
    </row>
    <row r="1591" spans="1:30" s="161" customFormat="1" ht="39.950000000000003" hidden="1" customHeight="1" outlineLevel="1" x14ac:dyDescent="0.25">
      <c r="A1591" s="21"/>
      <c r="B1591" s="21" t="s">
        <v>4256</v>
      </c>
      <c r="C1591" s="159" t="s">
        <v>4297</v>
      </c>
      <c r="D1591" s="161">
        <v>3520</v>
      </c>
      <c r="E1591" s="161">
        <v>32</v>
      </c>
      <c r="F1591" s="161">
        <v>110</v>
      </c>
      <c r="G1591" s="161" t="s">
        <v>4298</v>
      </c>
      <c r="H1591" s="161" t="s">
        <v>138</v>
      </c>
      <c r="I1591" s="161">
        <v>66</v>
      </c>
      <c r="J1591" s="161" t="s">
        <v>389</v>
      </c>
      <c r="K1591" s="21" t="s">
        <v>1876</v>
      </c>
      <c r="L1591" s="161" t="s">
        <v>59</v>
      </c>
      <c r="M1591" s="21" t="s">
        <v>1719</v>
      </c>
      <c r="N1591" s="161" t="s">
        <v>2138</v>
      </c>
      <c r="O1591" s="21" t="s">
        <v>1553</v>
      </c>
      <c r="P1591" s="161" t="s">
        <v>69</v>
      </c>
      <c r="Q1591" s="21" t="s">
        <v>70</v>
      </c>
      <c r="R1591" s="161">
        <v>80</v>
      </c>
      <c r="S1591" s="161" t="s">
        <v>2226</v>
      </c>
      <c r="T1591" s="161" t="s">
        <v>2187</v>
      </c>
      <c r="U1591" s="161" t="s">
        <v>73</v>
      </c>
      <c r="V1591" s="21" t="s">
        <v>74</v>
      </c>
      <c r="W1591" s="21" t="s">
        <v>4272</v>
      </c>
      <c r="X1591" s="161" t="s">
        <v>1569</v>
      </c>
      <c r="Y1591" s="161">
        <v>1.7420000000000001E-2</v>
      </c>
      <c r="Z1591" s="161">
        <v>2.1</v>
      </c>
      <c r="AA1591" s="161" t="s">
        <v>77</v>
      </c>
      <c r="AB1591" s="161" t="s">
        <v>114</v>
      </c>
      <c r="AC1591" s="233" t="e">
        <f>HYPERLINK(#REF!,"ССЫЛКА")</f>
        <v>#REF!</v>
      </c>
      <c r="AD1591" s="170" t="s">
        <v>2859</v>
      </c>
    </row>
    <row r="1592" spans="1:30" s="161" customFormat="1" ht="39.950000000000003" hidden="1" customHeight="1" outlineLevel="1" x14ac:dyDescent="0.25">
      <c r="A1592" s="21"/>
      <c r="B1592" s="21" t="s">
        <v>4256</v>
      </c>
      <c r="C1592" s="159" t="s">
        <v>4299</v>
      </c>
      <c r="D1592" s="161">
        <v>3520</v>
      </c>
      <c r="E1592" s="161">
        <v>32</v>
      </c>
      <c r="F1592" s="161">
        <v>110</v>
      </c>
      <c r="G1592" s="161" t="s">
        <v>4300</v>
      </c>
      <c r="H1592" s="161" t="s">
        <v>138</v>
      </c>
      <c r="I1592" s="161">
        <v>66</v>
      </c>
      <c r="J1592" s="161" t="s">
        <v>389</v>
      </c>
      <c r="K1592" s="21" t="s">
        <v>2149</v>
      </c>
      <c r="L1592" s="161" t="s">
        <v>59</v>
      </c>
      <c r="M1592" s="21" t="s">
        <v>1719</v>
      </c>
      <c r="N1592" s="161" t="s">
        <v>2138</v>
      </c>
      <c r="O1592" s="21" t="s">
        <v>1553</v>
      </c>
      <c r="P1592" s="161" t="s">
        <v>69</v>
      </c>
      <c r="Q1592" s="21" t="s">
        <v>70</v>
      </c>
      <c r="R1592" s="161">
        <v>80</v>
      </c>
      <c r="S1592" s="161" t="s">
        <v>2226</v>
      </c>
      <c r="T1592" s="161" t="s">
        <v>2187</v>
      </c>
      <c r="U1592" s="161" t="s">
        <v>73</v>
      </c>
      <c r="V1592" s="21" t="s">
        <v>74</v>
      </c>
      <c r="W1592" s="21" t="s">
        <v>4272</v>
      </c>
      <c r="X1592" s="161" t="s">
        <v>1569</v>
      </c>
      <c r="Y1592" s="161">
        <v>1.7420000000000001E-2</v>
      </c>
      <c r="Z1592" s="161">
        <v>2.1</v>
      </c>
      <c r="AA1592" s="161" t="s">
        <v>77</v>
      </c>
      <c r="AB1592" s="161" t="s">
        <v>114</v>
      </c>
      <c r="AC1592" s="233" t="e">
        <f>HYPERLINK(#REF!,"ССЫЛКА")</f>
        <v>#REF!</v>
      </c>
      <c r="AD1592" s="170" t="s">
        <v>2859</v>
      </c>
    </row>
    <row r="1593" spans="1:30" s="161" customFormat="1" ht="39.950000000000003" hidden="1" customHeight="1" outlineLevel="1" x14ac:dyDescent="0.25">
      <c r="A1593" s="21"/>
      <c r="B1593" s="21" t="s">
        <v>4256</v>
      </c>
      <c r="C1593" s="159" t="s">
        <v>4301</v>
      </c>
      <c r="D1593" s="161">
        <v>3520</v>
      </c>
      <c r="E1593" s="161">
        <v>32</v>
      </c>
      <c r="F1593" s="161">
        <v>110</v>
      </c>
      <c r="G1593" s="161" t="s">
        <v>4302</v>
      </c>
      <c r="H1593" s="161" t="s">
        <v>138</v>
      </c>
      <c r="I1593" s="161">
        <v>66</v>
      </c>
      <c r="J1593" s="161" t="s">
        <v>389</v>
      </c>
      <c r="K1593" s="21" t="s">
        <v>2152</v>
      </c>
      <c r="L1593" s="161" t="s">
        <v>59</v>
      </c>
      <c r="M1593" s="21" t="s">
        <v>1719</v>
      </c>
      <c r="N1593" s="161" t="s">
        <v>2138</v>
      </c>
      <c r="O1593" s="21" t="s">
        <v>1553</v>
      </c>
      <c r="P1593" s="161" t="s">
        <v>69</v>
      </c>
      <c r="Q1593" s="21" t="s">
        <v>70</v>
      </c>
      <c r="R1593" s="161">
        <v>80</v>
      </c>
      <c r="S1593" s="161" t="s">
        <v>2226</v>
      </c>
      <c r="T1593" s="161" t="s">
        <v>2187</v>
      </c>
      <c r="U1593" s="161" t="s">
        <v>73</v>
      </c>
      <c r="V1593" s="21" t="s">
        <v>74</v>
      </c>
      <c r="W1593" s="21" t="s">
        <v>4272</v>
      </c>
      <c r="X1593" s="161" t="s">
        <v>1569</v>
      </c>
      <c r="Y1593" s="161">
        <v>1.7420000000000001E-2</v>
      </c>
      <c r="Z1593" s="161">
        <v>2.1</v>
      </c>
      <c r="AA1593" s="161" t="s">
        <v>77</v>
      </c>
      <c r="AB1593" s="161" t="s">
        <v>114</v>
      </c>
      <c r="AC1593" s="233" t="e">
        <f>HYPERLINK(#REF!,"ССЫЛКА")</f>
        <v>#REF!</v>
      </c>
      <c r="AD1593" s="170" t="s">
        <v>2859</v>
      </c>
    </row>
    <row r="1594" spans="1:30" s="161" customFormat="1" ht="39.950000000000003" hidden="1" customHeight="1" outlineLevel="1" x14ac:dyDescent="0.25">
      <c r="A1594" s="21"/>
      <c r="B1594" s="21" t="s">
        <v>4256</v>
      </c>
      <c r="C1594" s="159" t="s">
        <v>4303</v>
      </c>
      <c r="D1594" s="161">
        <v>3520</v>
      </c>
      <c r="E1594" s="161">
        <v>32</v>
      </c>
      <c r="F1594" s="161">
        <v>110</v>
      </c>
      <c r="G1594" s="161" t="s">
        <v>4304</v>
      </c>
      <c r="H1594" s="161" t="s">
        <v>138</v>
      </c>
      <c r="I1594" s="161">
        <v>66</v>
      </c>
      <c r="J1594" s="161" t="s">
        <v>389</v>
      </c>
      <c r="K1594" s="21" t="s">
        <v>2155</v>
      </c>
      <c r="L1594" s="161" t="s">
        <v>59</v>
      </c>
      <c r="M1594" s="21" t="s">
        <v>1719</v>
      </c>
      <c r="N1594" s="161" t="s">
        <v>2138</v>
      </c>
      <c r="O1594" s="21" t="s">
        <v>1553</v>
      </c>
      <c r="P1594" s="161" t="s">
        <v>69</v>
      </c>
      <c r="Q1594" s="21" t="s">
        <v>70</v>
      </c>
      <c r="R1594" s="161">
        <v>80</v>
      </c>
      <c r="S1594" s="161" t="s">
        <v>2226</v>
      </c>
      <c r="T1594" s="161" t="s">
        <v>2187</v>
      </c>
      <c r="U1594" s="161" t="s">
        <v>73</v>
      </c>
      <c r="V1594" s="21" t="s">
        <v>74</v>
      </c>
      <c r="W1594" s="21" t="s">
        <v>4272</v>
      </c>
      <c r="X1594" s="161" t="s">
        <v>1569</v>
      </c>
      <c r="Y1594" s="161">
        <v>1.7420000000000001E-2</v>
      </c>
      <c r="Z1594" s="161">
        <v>2.1</v>
      </c>
      <c r="AA1594" s="161" t="s">
        <v>77</v>
      </c>
      <c r="AB1594" s="161" t="s">
        <v>114</v>
      </c>
      <c r="AC1594" s="233" t="e">
        <f>HYPERLINK(#REF!,"ССЫЛКА")</f>
        <v>#REF!</v>
      </c>
      <c r="AD1594" s="170" t="s">
        <v>2859</v>
      </c>
    </row>
    <row r="1595" spans="1:30" s="161" customFormat="1" ht="39.950000000000003" hidden="1" customHeight="1" outlineLevel="1" x14ac:dyDescent="0.25">
      <c r="A1595" s="21"/>
      <c r="B1595" s="21" t="s">
        <v>4256</v>
      </c>
      <c r="C1595" s="159" t="s">
        <v>4305</v>
      </c>
      <c r="D1595" s="161">
        <v>3520</v>
      </c>
      <c r="E1595" s="161">
        <v>32</v>
      </c>
      <c r="F1595" s="161">
        <v>110</v>
      </c>
      <c r="G1595" s="161" t="s">
        <v>4306</v>
      </c>
      <c r="H1595" s="161" t="s">
        <v>138</v>
      </c>
      <c r="I1595" s="161">
        <v>66</v>
      </c>
      <c r="J1595" s="161" t="s">
        <v>389</v>
      </c>
      <c r="K1595" s="21" t="s">
        <v>2158</v>
      </c>
      <c r="L1595" s="161" t="s">
        <v>59</v>
      </c>
      <c r="M1595" s="21" t="s">
        <v>1719</v>
      </c>
      <c r="N1595" s="161" t="s">
        <v>2138</v>
      </c>
      <c r="O1595" s="21" t="s">
        <v>1553</v>
      </c>
      <c r="P1595" s="161" t="s">
        <v>69</v>
      </c>
      <c r="Q1595" s="21" t="s">
        <v>70</v>
      </c>
      <c r="R1595" s="161">
        <v>80</v>
      </c>
      <c r="S1595" s="161" t="s">
        <v>2226</v>
      </c>
      <c r="T1595" s="161" t="s">
        <v>2187</v>
      </c>
      <c r="U1595" s="161" t="s">
        <v>73</v>
      </c>
      <c r="V1595" s="21" t="s">
        <v>74</v>
      </c>
      <c r="W1595" s="21" t="s">
        <v>4272</v>
      </c>
      <c r="X1595" s="161" t="s">
        <v>1569</v>
      </c>
      <c r="Y1595" s="161">
        <v>1.7420000000000001E-2</v>
      </c>
      <c r="Z1595" s="161">
        <v>2.1</v>
      </c>
      <c r="AA1595" s="161" t="s">
        <v>77</v>
      </c>
      <c r="AB1595" s="161" t="s">
        <v>114</v>
      </c>
      <c r="AC1595" s="233" t="e">
        <f>HYPERLINK(#REF!,"ССЫЛКА")</f>
        <v>#REF!</v>
      </c>
      <c r="AD1595" s="170" t="s">
        <v>2859</v>
      </c>
    </row>
    <row r="1596" spans="1:30" s="161" customFormat="1" ht="39.950000000000003" hidden="1" customHeight="1" outlineLevel="1" x14ac:dyDescent="0.25">
      <c r="A1596" s="6"/>
      <c r="B1596" s="21" t="s">
        <v>3397</v>
      </c>
      <c r="C1596" s="159" t="s">
        <v>3391</v>
      </c>
      <c r="D1596" s="161">
        <v>3220</v>
      </c>
      <c r="E1596" s="161">
        <v>22</v>
      </c>
      <c r="F1596" s="161">
        <v>146</v>
      </c>
      <c r="G1596" s="161" t="s">
        <v>3427</v>
      </c>
      <c r="H1596" s="161" t="s">
        <v>138</v>
      </c>
      <c r="I1596" s="167">
        <v>65</v>
      </c>
      <c r="J1596" s="161" t="s">
        <v>105</v>
      </c>
      <c r="K1596" s="21" t="s">
        <v>106</v>
      </c>
      <c r="L1596" s="161" t="s">
        <v>3380</v>
      </c>
      <c r="M1596" s="21" t="s">
        <v>2107</v>
      </c>
      <c r="N1596" s="161" t="s">
        <v>67</v>
      </c>
      <c r="O1596" s="21" t="s">
        <v>3425</v>
      </c>
      <c r="P1596" s="161" t="s">
        <v>109</v>
      </c>
      <c r="Q1596" s="21" t="s">
        <v>70</v>
      </c>
      <c r="R1596" s="161">
        <v>80</v>
      </c>
      <c r="S1596" s="161" t="s">
        <v>3377</v>
      </c>
      <c r="T1596" s="161" t="s">
        <v>1555</v>
      </c>
      <c r="U1596" s="161" t="s">
        <v>73</v>
      </c>
      <c r="V1596" s="21" t="s">
        <v>74</v>
      </c>
      <c r="W1596" s="21" t="s">
        <v>75</v>
      </c>
      <c r="X1596" s="161" t="s">
        <v>3451</v>
      </c>
      <c r="Y1596" s="161">
        <v>1.0800000000000001E-2</v>
      </c>
      <c r="Z1596" s="161">
        <v>0.85</v>
      </c>
      <c r="AA1596" s="161" t="s">
        <v>77</v>
      </c>
      <c r="AB1596" s="161" t="s">
        <v>114</v>
      </c>
      <c r="AC1596" s="228" t="s">
        <v>3852</v>
      </c>
      <c r="AD1596" s="170" t="s">
        <v>2859</v>
      </c>
    </row>
    <row r="1597" spans="1:30" s="161" customFormat="1" ht="39.950000000000003" hidden="1" customHeight="1" outlineLevel="1" x14ac:dyDescent="0.25">
      <c r="A1597" s="6"/>
      <c r="B1597" s="21" t="s">
        <v>3397</v>
      </c>
      <c r="C1597" s="159" t="s">
        <v>3392</v>
      </c>
      <c r="D1597" s="161">
        <v>6440</v>
      </c>
      <c r="E1597" s="161">
        <v>44</v>
      </c>
      <c r="F1597" s="161">
        <v>146</v>
      </c>
      <c r="G1597" s="161" t="s">
        <v>3428</v>
      </c>
      <c r="H1597" s="161" t="s">
        <v>138</v>
      </c>
      <c r="I1597" s="167">
        <v>65</v>
      </c>
      <c r="J1597" s="161" t="s">
        <v>105</v>
      </c>
      <c r="K1597" s="21" t="s">
        <v>106</v>
      </c>
      <c r="L1597" s="161" t="s">
        <v>3380</v>
      </c>
      <c r="M1597" s="21" t="s">
        <v>2107</v>
      </c>
      <c r="N1597" s="161" t="s">
        <v>67</v>
      </c>
      <c r="O1597" s="21" t="s">
        <v>3425</v>
      </c>
      <c r="P1597" s="161" t="s">
        <v>109</v>
      </c>
      <c r="Q1597" s="21" t="s">
        <v>70</v>
      </c>
      <c r="R1597" s="161">
        <v>80</v>
      </c>
      <c r="S1597" s="161" t="s">
        <v>3377</v>
      </c>
      <c r="T1597" s="161" t="s">
        <v>1555</v>
      </c>
      <c r="U1597" s="161" t="s">
        <v>73</v>
      </c>
      <c r="V1597" s="21" t="s">
        <v>74</v>
      </c>
      <c r="W1597" s="21" t="s">
        <v>75</v>
      </c>
      <c r="X1597" s="161" t="s">
        <v>3452</v>
      </c>
      <c r="Y1597" s="161">
        <v>2.1600000000000001E-2</v>
      </c>
      <c r="Z1597" s="161">
        <v>1.55</v>
      </c>
      <c r="AA1597" s="161" t="s">
        <v>77</v>
      </c>
      <c r="AB1597" s="161" t="s">
        <v>114</v>
      </c>
      <c r="AC1597" s="228" t="s">
        <v>3852</v>
      </c>
      <c r="AD1597" s="170" t="s">
        <v>2859</v>
      </c>
    </row>
    <row r="1598" spans="1:30" s="161" customFormat="1" ht="39.950000000000003" hidden="1" customHeight="1" outlineLevel="1" x14ac:dyDescent="0.25">
      <c r="A1598" s="6"/>
      <c r="B1598" s="21" t="s">
        <v>3397</v>
      </c>
      <c r="C1598" s="160" t="s">
        <v>3393</v>
      </c>
      <c r="D1598" s="161">
        <v>9165</v>
      </c>
      <c r="E1598" s="161">
        <v>61</v>
      </c>
      <c r="F1598" s="161">
        <v>150</v>
      </c>
      <c r="G1598" s="161" t="s">
        <v>3429</v>
      </c>
      <c r="H1598" s="161" t="s">
        <v>138</v>
      </c>
      <c r="I1598" s="167">
        <v>65</v>
      </c>
      <c r="J1598" s="161" t="s">
        <v>105</v>
      </c>
      <c r="K1598" s="21" t="s">
        <v>106</v>
      </c>
      <c r="L1598" s="161" t="s">
        <v>3380</v>
      </c>
      <c r="M1598" s="21" t="s">
        <v>2107</v>
      </c>
      <c r="N1598" s="161" t="s">
        <v>67</v>
      </c>
      <c r="O1598" s="21" t="s">
        <v>3425</v>
      </c>
      <c r="P1598" s="161" t="s">
        <v>109</v>
      </c>
      <c r="Q1598" s="21" t="s">
        <v>70</v>
      </c>
      <c r="R1598" s="161">
        <v>80</v>
      </c>
      <c r="S1598" s="161" t="s">
        <v>3377</v>
      </c>
      <c r="T1598" s="161" t="s">
        <v>141</v>
      </c>
      <c r="U1598" s="161" t="s">
        <v>73</v>
      </c>
      <c r="V1598" s="21" t="s">
        <v>74</v>
      </c>
      <c r="W1598" s="21" t="s">
        <v>75</v>
      </c>
      <c r="X1598" s="161" t="s">
        <v>3453</v>
      </c>
      <c r="Y1598" s="161">
        <v>2.7E-2</v>
      </c>
      <c r="Z1598" s="161">
        <v>1.8</v>
      </c>
      <c r="AA1598" s="161" t="s">
        <v>77</v>
      </c>
      <c r="AB1598" s="161" t="s">
        <v>114</v>
      </c>
      <c r="AC1598" s="228" t="s">
        <v>3852</v>
      </c>
      <c r="AD1598" s="170" t="s">
        <v>2859</v>
      </c>
    </row>
    <row r="1599" spans="1:30" s="161" customFormat="1" ht="39.950000000000003" hidden="1" customHeight="1" outlineLevel="1" x14ac:dyDescent="0.25">
      <c r="A1599" s="6"/>
      <c r="B1599" s="21" t="s">
        <v>3397</v>
      </c>
      <c r="C1599" s="159" t="s">
        <v>3395</v>
      </c>
      <c r="D1599" s="161">
        <v>12880</v>
      </c>
      <c r="E1599" s="161">
        <v>88</v>
      </c>
      <c r="F1599" s="161">
        <v>146</v>
      </c>
      <c r="G1599" s="161" t="s">
        <v>3431</v>
      </c>
      <c r="H1599" s="161" t="s">
        <v>138</v>
      </c>
      <c r="I1599" s="167">
        <v>65</v>
      </c>
      <c r="J1599" s="161" t="s">
        <v>105</v>
      </c>
      <c r="K1599" s="21" t="s">
        <v>106</v>
      </c>
      <c r="L1599" s="161" t="s">
        <v>3380</v>
      </c>
      <c r="M1599" s="21" t="s">
        <v>2107</v>
      </c>
      <c r="N1599" s="161" t="s">
        <v>67</v>
      </c>
      <c r="O1599" s="21" t="s">
        <v>3425</v>
      </c>
      <c r="P1599" s="161" t="s">
        <v>109</v>
      </c>
      <c r="Q1599" s="21" t="s">
        <v>70</v>
      </c>
      <c r="R1599" s="161">
        <v>80</v>
      </c>
      <c r="S1599" s="161" t="s">
        <v>3377</v>
      </c>
      <c r="T1599" s="161" t="s">
        <v>1555</v>
      </c>
      <c r="U1599" s="161" t="s">
        <v>73</v>
      </c>
      <c r="V1599" s="21" t="s">
        <v>74</v>
      </c>
      <c r="W1599" s="21" t="s">
        <v>75</v>
      </c>
      <c r="X1599" s="161" t="s">
        <v>3455</v>
      </c>
      <c r="Y1599" s="161">
        <v>4.3200000000000002E-2</v>
      </c>
      <c r="Z1599" s="161">
        <v>2.6</v>
      </c>
      <c r="AA1599" s="161" t="s">
        <v>77</v>
      </c>
      <c r="AB1599" s="161" t="s">
        <v>114</v>
      </c>
      <c r="AC1599" s="228" t="s">
        <v>3852</v>
      </c>
      <c r="AD1599" s="170" t="s">
        <v>2859</v>
      </c>
    </row>
    <row r="1600" spans="1:30" s="161" customFormat="1" ht="39.950000000000003" hidden="1" customHeight="1" outlineLevel="1" x14ac:dyDescent="0.25">
      <c r="A1600" s="6"/>
      <c r="B1600" s="21" t="s">
        <v>3397</v>
      </c>
      <c r="C1600" s="160" t="s">
        <v>3396</v>
      </c>
      <c r="D1600" s="161">
        <v>18330</v>
      </c>
      <c r="E1600" s="161">
        <v>122</v>
      </c>
      <c r="F1600" s="161">
        <v>150</v>
      </c>
      <c r="G1600" s="161" t="s">
        <v>3432</v>
      </c>
      <c r="H1600" s="161" t="s">
        <v>138</v>
      </c>
      <c r="I1600" s="167">
        <v>65</v>
      </c>
      <c r="J1600" s="161" t="s">
        <v>105</v>
      </c>
      <c r="K1600" s="21" t="s">
        <v>106</v>
      </c>
      <c r="L1600" s="161" t="s">
        <v>3380</v>
      </c>
      <c r="M1600" s="21" t="s">
        <v>2107</v>
      </c>
      <c r="N1600" s="161" t="s">
        <v>67</v>
      </c>
      <c r="O1600" s="21" t="s">
        <v>3425</v>
      </c>
      <c r="P1600" s="161" t="s">
        <v>109</v>
      </c>
      <c r="Q1600" s="21" t="s">
        <v>70</v>
      </c>
      <c r="R1600" s="161">
        <v>80</v>
      </c>
      <c r="S1600" s="161" t="s">
        <v>3377</v>
      </c>
      <c r="T1600" s="161" t="s">
        <v>141</v>
      </c>
      <c r="U1600" s="161" t="s">
        <v>73</v>
      </c>
      <c r="V1600" s="21" t="s">
        <v>74</v>
      </c>
      <c r="W1600" s="21" t="s">
        <v>75</v>
      </c>
      <c r="X1600" s="161" t="s">
        <v>3456</v>
      </c>
      <c r="Y1600" s="161">
        <v>5.3999999999999999E-2</v>
      </c>
      <c r="Z1600" s="161">
        <v>3.15</v>
      </c>
      <c r="AA1600" s="161" t="s">
        <v>77</v>
      </c>
      <c r="AB1600" s="161" t="s">
        <v>114</v>
      </c>
      <c r="AC1600" s="228" t="e">
        <f>HYPERLINK(#REF!,"ССЫЛКА")</f>
        <v>#REF!</v>
      </c>
      <c r="AD1600" s="170" t="s">
        <v>2859</v>
      </c>
    </row>
    <row r="1601" spans="1:30" s="161" customFormat="1" ht="39.950000000000003" hidden="1" customHeight="1" outlineLevel="1" x14ac:dyDescent="0.25">
      <c r="A1601" s="171"/>
      <c r="B1601" s="21" t="s">
        <v>1627</v>
      </c>
      <c r="C1601" s="159" t="s">
        <v>1635</v>
      </c>
      <c r="D1601" s="161">
        <v>3800</v>
      </c>
      <c r="E1601" s="161">
        <v>36</v>
      </c>
      <c r="F1601" s="161">
        <v>105</v>
      </c>
      <c r="G1601" s="161" t="s">
        <v>1636</v>
      </c>
      <c r="H1601" s="161" t="s">
        <v>138</v>
      </c>
      <c r="I1601" s="161">
        <v>65</v>
      </c>
      <c r="J1601" s="161" t="s">
        <v>1637</v>
      </c>
      <c r="K1601" s="21" t="s">
        <v>106</v>
      </c>
      <c r="L1601" s="161" t="s">
        <v>1618</v>
      </c>
      <c r="M1601" s="21" t="s">
        <v>1638</v>
      </c>
      <c r="N1601" s="161" t="s">
        <v>67</v>
      </c>
      <c r="O1601" s="21" t="s">
        <v>1630</v>
      </c>
      <c r="P1601" s="161" t="s">
        <v>109</v>
      </c>
      <c r="Q1601" s="21" t="s">
        <v>70</v>
      </c>
      <c r="R1601" s="161">
        <v>80</v>
      </c>
      <c r="S1601" s="161" t="s">
        <v>1631</v>
      </c>
      <c r="T1601" s="161" t="s">
        <v>141</v>
      </c>
      <c r="U1601" s="161" t="s">
        <v>73</v>
      </c>
      <c r="V1601" s="21" t="s">
        <v>1632</v>
      </c>
      <c r="W1601" s="21" t="s">
        <v>1633</v>
      </c>
      <c r="X1601" s="161" t="s">
        <v>1634</v>
      </c>
      <c r="Y1601" s="161">
        <v>1.2999999999999999E-2</v>
      </c>
      <c r="Z1601" s="161">
        <v>1.2</v>
      </c>
      <c r="AA1601" s="161" t="s">
        <v>1639</v>
      </c>
      <c r="AB1601" s="161" t="s">
        <v>114</v>
      </c>
      <c r="AC1601" s="228" t="e">
        <f>HYPERLINK(#REF!,"ССЫЛКА")</f>
        <v>#REF!</v>
      </c>
      <c r="AD1601" s="170" t="s">
        <v>2859</v>
      </c>
    </row>
    <row r="1602" spans="1:30" s="161" customFormat="1" ht="39.950000000000003" hidden="1" customHeight="1" outlineLevel="1" x14ac:dyDescent="0.25">
      <c r="A1602" s="171"/>
      <c r="B1602" s="21" t="s">
        <v>1627</v>
      </c>
      <c r="C1602" s="159" t="s">
        <v>1640</v>
      </c>
      <c r="D1602" s="161">
        <v>3800</v>
      </c>
      <c r="E1602" s="161">
        <v>36</v>
      </c>
      <c r="F1602" s="161">
        <v>105</v>
      </c>
      <c r="G1602" s="161" t="s">
        <v>1641</v>
      </c>
      <c r="H1602" s="161" t="s">
        <v>138</v>
      </c>
      <c r="I1602" s="161">
        <v>65</v>
      </c>
      <c r="J1602" s="161" t="s">
        <v>389</v>
      </c>
      <c r="K1602" s="21" t="s">
        <v>106</v>
      </c>
      <c r="L1602" s="161" t="s">
        <v>1618</v>
      </c>
      <c r="M1602" s="21" t="s">
        <v>1642</v>
      </c>
      <c r="N1602" s="161" t="s">
        <v>67</v>
      </c>
      <c r="O1602" s="21" t="s">
        <v>1630</v>
      </c>
      <c r="P1602" s="161" t="s">
        <v>109</v>
      </c>
      <c r="Q1602" s="21" t="s">
        <v>70</v>
      </c>
      <c r="R1602" s="161">
        <v>80</v>
      </c>
      <c r="S1602" s="161" t="s">
        <v>1631</v>
      </c>
      <c r="T1602" s="161" t="s">
        <v>141</v>
      </c>
      <c r="U1602" s="161" t="s">
        <v>73</v>
      </c>
      <c r="V1602" s="21" t="s">
        <v>1632</v>
      </c>
      <c r="W1602" s="21" t="s">
        <v>1633</v>
      </c>
      <c r="X1602" s="161" t="s">
        <v>1634</v>
      </c>
      <c r="Y1602" s="161">
        <v>1.2999999999999999E-2</v>
      </c>
      <c r="Z1602" s="161">
        <v>1.2</v>
      </c>
      <c r="AA1602" s="161" t="s">
        <v>77</v>
      </c>
      <c r="AB1602" s="161" t="s">
        <v>114</v>
      </c>
      <c r="AC1602" s="228" t="e">
        <f>HYPERLINK(#REF!,"ССЫЛКА")</f>
        <v>#REF!</v>
      </c>
      <c r="AD1602" s="170" t="s">
        <v>2859</v>
      </c>
    </row>
    <row r="1603" spans="1:30" s="161" customFormat="1" ht="39.950000000000003" hidden="1" customHeight="1" outlineLevel="1" x14ac:dyDescent="0.25">
      <c r="A1603" s="171"/>
      <c r="B1603" s="21" t="s">
        <v>1627</v>
      </c>
      <c r="C1603" s="159" t="s">
        <v>1643</v>
      </c>
      <c r="D1603" s="161">
        <v>3800</v>
      </c>
      <c r="E1603" s="161">
        <v>36</v>
      </c>
      <c r="F1603" s="161">
        <v>105</v>
      </c>
      <c r="G1603" s="161" t="s">
        <v>1644</v>
      </c>
      <c r="H1603" s="161" t="s">
        <v>138</v>
      </c>
      <c r="I1603" s="161">
        <v>65</v>
      </c>
      <c r="J1603" s="161" t="s">
        <v>389</v>
      </c>
      <c r="K1603" s="21" t="s">
        <v>106</v>
      </c>
      <c r="L1603" s="161" t="s">
        <v>1618</v>
      </c>
      <c r="M1603" s="21" t="s">
        <v>1645</v>
      </c>
      <c r="N1603" s="161" t="s">
        <v>67</v>
      </c>
      <c r="O1603" s="21" t="s">
        <v>1630</v>
      </c>
      <c r="P1603" s="161" t="s">
        <v>109</v>
      </c>
      <c r="Q1603" s="21" t="s">
        <v>70</v>
      </c>
      <c r="R1603" s="161">
        <v>80</v>
      </c>
      <c r="S1603" s="161" t="s">
        <v>1631</v>
      </c>
      <c r="T1603" s="161" t="s">
        <v>141</v>
      </c>
      <c r="U1603" s="161" t="s">
        <v>73</v>
      </c>
      <c r="V1603" s="21" t="s">
        <v>1632</v>
      </c>
      <c r="W1603" s="21" t="s">
        <v>1633</v>
      </c>
      <c r="X1603" s="161" t="s">
        <v>1634</v>
      </c>
      <c r="Y1603" s="161">
        <v>1.2999999999999999E-2</v>
      </c>
      <c r="Z1603" s="161">
        <v>1.2</v>
      </c>
      <c r="AA1603" s="161" t="s">
        <v>77</v>
      </c>
      <c r="AB1603" s="161" t="s">
        <v>114</v>
      </c>
      <c r="AC1603" s="228" t="e">
        <f>HYPERLINK(#REF!,"ССЫЛКА")</f>
        <v>#REF!</v>
      </c>
      <c r="AD1603" s="170" t="s">
        <v>2859</v>
      </c>
    </row>
    <row r="1604" spans="1:30" s="161" customFormat="1" ht="39.950000000000003" hidden="1" customHeight="1" outlineLevel="1" x14ac:dyDescent="0.25">
      <c r="A1604" s="171"/>
      <c r="B1604" s="21" t="s">
        <v>1627</v>
      </c>
      <c r="C1604" s="159" t="s">
        <v>1646</v>
      </c>
      <c r="D1604" s="161" t="s">
        <v>1647</v>
      </c>
      <c r="E1604" s="161" t="s">
        <v>1648</v>
      </c>
      <c r="F1604" s="161" t="s">
        <v>2589</v>
      </c>
      <c r="G1604" s="161" t="s">
        <v>1649</v>
      </c>
      <c r="H1604" s="161" t="s">
        <v>138</v>
      </c>
      <c r="I1604" s="161">
        <v>65</v>
      </c>
      <c r="J1604" s="161" t="s">
        <v>389</v>
      </c>
      <c r="K1604" s="21" t="s">
        <v>106</v>
      </c>
      <c r="L1604" s="161" t="s">
        <v>1618</v>
      </c>
      <c r="M1604" s="21" t="s">
        <v>1650</v>
      </c>
      <c r="N1604" s="161" t="s">
        <v>67</v>
      </c>
      <c r="O1604" s="21" t="s">
        <v>1630</v>
      </c>
      <c r="P1604" s="161" t="s">
        <v>109</v>
      </c>
      <c r="Q1604" s="21" t="s">
        <v>70</v>
      </c>
      <c r="R1604" s="161">
        <v>80</v>
      </c>
      <c r="S1604" s="161" t="s">
        <v>1631</v>
      </c>
      <c r="T1604" s="161" t="s">
        <v>141</v>
      </c>
      <c r="U1604" s="161" t="s">
        <v>73</v>
      </c>
      <c r="V1604" s="21" t="s">
        <v>1632</v>
      </c>
      <c r="W1604" s="21" t="s">
        <v>1633</v>
      </c>
      <c r="X1604" s="161" t="s">
        <v>1634</v>
      </c>
      <c r="Y1604" s="161">
        <v>1.2999999999999999E-2</v>
      </c>
      <c r="Z1604" s="161">
        <v>1.2</v>
      </c>
      <c r="AA1604" s="161" t="s">
        <v>77</v>
      </c>
      <c r="AB1604" s="161" t="s">
        <v>114</v>
      </c>
      <c r="AC1604" s="228" t="e">
        <f>HYPERLINK(#REF!,"ССЫЛКА")</f>
        <v>#REF!</v>
      </c>
      <c r="AD1604" s="170" t="s">
        <v>2859</v>
      </c>
    </row>
    <row r="1605" spans="1:30" s="161" customFormat="1" ht="39.950000000000003" hidden="1" customHeight="1" outlineLevel="1" x14ac:dyDescent="0.25">
      <c r="A1605" s="171"/>
      <c r="B1605" s="21" t="s">
        <v>1627</v>
      </c>
      <c r="C1605" s="159" t="s">
        <v>1651</v>
      </c>
      <c r="D1605" s="161" t="s">
        <v>1647</v>
      </c>
      <c r="E1605" s="161" t="s">
        <v>1648</v>
      </c>
      <c r="F1605" s="161" t="s">
        <v>2589</v>
      </c>
      <c r="G1605" s="161" t="s">
        <v>1652</v>
      </c>
      <c r="H1605" s="161" t="s">
        <v>138</v>
      </c>
      <c r="I1605" s="161">
        <v>65</v>
      </c>
      <c r="J1605" s="161" t="s">
        <v>389</v>
      </c>
      <c r="K1605" s="21" t="s">
        <v>106</v>
      </c>
      <c r="L1605" s="161" t="s">
        <v>1618</v>
      </c>
      <c r="M1605" s="21" t="s">
        <v>1653</v>
      </c>
      <c r="N1605" s="161" t="s">
        <v>67</v>
      </c>
      <c r="O1605" s="21" t="s">
        <v>1630</v>
      </c>
      <c r="P1605" s="161" t="s">
        <v>109</v>
      </c>
      <c r="Q1605" s="21" t="s">
        <v>70</v>
      </c>
      <c r="R1605" s="161">
        <v>80</v>
      </c>
      <c r="S1605" s="161" t="s">
        <v>1631</v>
      </c>
      <c r="T1605" s="161" t="s">
        <v>141</v>
      </c>
      <c r="U1605" s="161" t="s">
        <v>73</v>
      </c>
      <c r="V1605" s="21" t="s">
        <v>1632</v>
      </c>
      <c r="W1605" s="21" t="s">
        <v>1633</v>
      </c>
      <c r="X1605" s="161" t="s">
        <v>1634</v>
      </c>
      <c r="Y1605" s="161">
        <v>1.2999999999999999E-2</v>
      </c>
      <c r="Z1605" s="161">
        <v>1.2</v>
      </c>
      <c r="AA1605" s="161" t="s">
        <v>77</v>
      </c>
      <c r="AB1605" s="161" t="s">
        <v>114</v>
      </c>
      <c r="AC1605" s="228" t="e">
        <f>HYPERLINK(#REF!,"ССЫЛКА")</f>
        <v>#REF!</v>
      </c>
      <c r="AD1605" s="170" t="s">
        <v>2859</v>
      </c>
    </row>
    <row r="1606" spans="1:30" s="161" customFormat="1" ht="39.950000000000003" hidden="1" customHeight="1" outlineLevel="1" x14ac:dyDescent="0.25">
      <c r="A1606" s="171"/>
      <c r="B1606" s="21" t="s">
        <v>1627</v>
      </c>
      <c r="C1606" s="159" t="s">
        <v>1654</v>
      </c>
      <c r="D1606" s="161">
        <v>3800</v>
      </c>
      <c r="E1606" s="161">
        <v>36</v>
      </c>
      <c r="F1606" s="161">
        <v>105</v>
      </c>
      <c r="G1606" s="161" t="s">
        <v>1655</v>
      </c>
      <c r="H1606" s="161" t="s">
        <v>138</v>
      </c>
      <c r="I1606" s="161">
        <v>65</v>
      </c>
      <c r="J1606" s="161" t="s">
        <v>389</v>
      </c>
      <c r="K1606" s="21" t="s">
        <v>106</v>
      </c>
      <c r="L1606" s="161" t="s">
        <v>1618</v>
      </c>
      <c r="M1606" s="21" t="s">
        <v>1656</v>
      </c>
      <c r="N1606" s="161" t="s">
        <v>67</v>
      </c>
      <c r="O1606" s="21" t="s">
        <v>1630</v>
      </c>
      <c r="P1606" s="161" t="s">
        <v>109</v>
      </c>
      <c r="Q1606" s="21" t="s">
        <v>70</v>
      </c>
      <c r="R1606" s="161">
        <v>80</v>
      </c>
      <c r="S1606" s="161" t="s">
        <v>1631</v>
      </c>
      <c r="T1606" s="161" t="s">
        <v>141</v>
      </c>
      <c r="U1606" s="161" t="s">
        <v>73</v>
      </c>
      <c r="V1606" s="21" t="s">
        <v>1632</v>
      </c>
      <c r="W1606" s="21" t="s">
        <v>1633</v>
      </c>
      <c r="X1606" s="161" t="s">
        <v>1634</v>
      </c>
      <c r="Y1606" s="161">
        <v>1.2999999999999999E-2</v>
      </c>
      <c r="Z1606" s="161">
        <v>1.2</v>
      </c>
      <c r="AA1606" s="161" t="s">
        <v>77</v>
      </c>
      <c r="AB1606" s="161" t="s">
        <v>114</v>
      </c>
      <c r="AC1606" s="228" t="e">
        <f>HYPERLINK(#REF!,"ССЫЛКА")</f>
        <v>#REF!</v>
      </c>
      <c r="AD1606" s="170" t="s">
        <v>2859</v>
      </c>
    </row>
    <row r="1607" spans="1:30" s="161" customFormat="1" ht="39.950000000000003" hidden="1" customHeight="1" outlineLevel="1" x14ac:dyDescent="0.25">
      <c r="A1607" s="171"/>
      <c r="B1607" s="21" t="s">
        <v>1627</v>
      </c>
      <c r="C1607" s="159" t="s">
        <v>1657</v>
      </c>
      <c r="D1607" s="161">
        <v>4300</v>
      </c>
      <c r="E1607" s="161">
        <v>36</v>
      </c>
      <c r="F1607" s="161">
        <v>119</v>
      </c>
      <c r="G1607" s="161" t="s">
        <v>1658</v>
      </c>
      <c r="H1607" s="161" t="s">
        <v>138</v>
      </c>
      <c r="I1607" s="161">
        <v>65</v>
      </c>
      <c r="J1607" s="161" t="s">
        <v>389</v>
      </c>
      <c r="K1607" s="21" t="s">
        <v>106</v>
      </c>
      <c r="L1607" s="161" t="s">
        <v>1618</v>
      </c>
      <c r="M1607" s="21" t="s">
        <v>1619</v>
      </c>
      <c r="N1607" s="161" t="s">
        <v>108</v>
      </c>
      <c r="O1607" s="21" t="s">
        <v>1630</v>
      </c>
      <c r="P1607" s="161" t="s">
        <v>109</v>
      </c>
      <c r="Q1607" s="21" t="s">
        <v>70</v>
      </c>
      <c r="R1607" s="161">
        <v>80</v>
      </c>
      <c r="S1607" s="161" t="s">
        <v>1659</v>
      </c>
      <c r="T1607" s="161" t="s">
        <v>569</v>
      </c>
      <c r="U1607" s="161" t="s">
        <v>73</v>
      </c>
      <c r="V1607" s="21" t="s">
        <v>1632</v>
      </c>
      <c r="W1607" s="21" t="s">
        <v>1633</v>
      </c>
      <c r="X1607" s="161" t="s">
        <v>1634</v>
      </c>
      <c r="Y1607" s="161">
        <v>1.2999999999999999E-2</v>
      </c>
      <c r="Z1607" s="161">
        <v>1.2</v>
      </c>
      <c r="AA1607" s="161" t="s">
        <v>77</v>
      </c>
      <c r="AB1607" s="161" t="s">
        <v>114</v>
      </c>
      <c r="AC1607" s="228" t="e">
        <f>HYPERLINK(#REF!,"ССЫЛКА")</f>
        <v>#REF!</v>
      </c>
      <c r="AD1607" s="170" t="s">
        <v>2859</v>
      </c>
    </row>
    <row r="1608" spans="1:30" s="161" customFormat="1" ht="39.950000000000003" hidden="1" customHeight="1" outlineLevel="1" x14ac:dyDescent="0.25">
      <c r="A1608" s="171"/>
      <c r="B1608" s="21" t="s">
        <v>1627</v>
      </c>
      <c r="C1608" s="159" t="s">
        <v>1675</v>
      </c>
      <c r="D1608" s="161">
        <v>6600</v>
      </c>
      <c r="E1608" s="161">
        <v>60</v>
      </c>
      <c r="F1608" s="161">
        <v>110</v>
      </c>
      <c r="G1608" s="161" t="s">
        <v>1676</v>
      </c>
      <c r="H1608" s="161" t="s">
        <v>138</v>
      </c>
      <c r="I1608" s="161">
        <v>65</v>
      </c>
      <c r="J1608" s="161" t="s">
        <v>1637</v>
      </c>
      <c r="K1608" s="21" t="s">
        <v>106</v>
      </c>
      <c r="L1608" s="161" t="s">
        <v>1618</v>
      </c>
      <c r="M1608" s="21" t="s">
        <v>1677</v>
      </c>
      <c r="N1608" s="161" t="s">
        <v>67</v>
      </c>
      <c r="O1608" s="21" t="s">
        <v>1630</v>
      </c>
      <c r="P1608" s="161" t="s">
        <v>109</v>
      </c>
      <c r="Q1608" s="21" t="s">
        <v>70</v>
      </c>
      <c r="R1608" s="161">
        <v>80</v>
      </c>
      <c r="S1608" s="161" t="s">
        <v>634</v>
      </c>
      <c r="T1608" s="161" t="s">
        <v>141</v>
      </c>
      <c r="U1608" s="161" t="s">
        <v>73</v>
      </c>
      <c r="V1608" s="21" t="s">
        <v>1632</v>
      </c>
      <c r="W1608" s="21" t="s">
        <v>1633</v>
      </c>
      <c r="X1608" s="161" t="s">
        <v>1674</v>
      </c>
      <c r="Y1608" s="161">
        <v>1.2999999999999999E-2</v>
      </c>
      <c r="Z1608" s="161">
        <v>1.6</v>
      </c>
      <c r="AA1608" s="161" t="s">
        <v>1639</v>
      </c>
      <c r="AB1608" s="161" t="s">
        <v>114</v>
      </c>
      <c r="AC1608" s="228" t="e">
        <f>HYPERLINK(#REF!,"ССЫЛКА")</f>
        <v>#REF!</v>
      </c>
      <c r="AD1608" s="170" t="s">
        <v>2859</v>
      </c>
    </row>
    <row r="1609" spans="1:30" s="161" customFormat="1" ht="39.950000000000003" hidden="1" customHeight="1" outlineLevel="1" x14ac:dyDescent="0.25">
      <c r="A1609" s="171"/>
      <c r="B1609" s="21" t="s">
        <v>1627</v>
      </c>
      <c r="C1609" s="159" t="s">
        <v>1678</v>
      </c>
      <c r="D1609" s="161">
        <v>6600</v>
      </c>
      <c r="E1609" s="161">
        <v>60</v>
      </c>
      <c r="F1609" s="161">
        <v>110</v>
      </c>
      <c r="G1609" s="161" t="s">
        <v>1679</v>
      </c>
      <c r="H1609" s="161" t="s">
        <v>138</v>
      </c>
      <c r="I1609" s="161">
        <v>65</v>
      </c>
      <c r="J1609" s="161" t="s">
        <v>389</v>
      </c>
      <c r="K1609" s="21" t="s">
        <v>106</v>
      </c>
      <c r="L1609" s="161" t="s">
        <v>1618</v>
      </c>
      <c r="M1609" s="21" t="s">
        <v>1680</v>
      </c>
      <c r="N1609" s="161" t="s">
        <v>67</v>
      </c>
      <c r="O1609" s="21" t="s">
        <v>1630</v>
      </c>
      <c r="P1609" s="161" t="s">
        <v>109</v>
      </c>
      <c r="Q1609" s="21" t="s">
        <v>70</v>
      </c>
      <c r="R1609" s="161">
        <v>80</v>
      </c>
      <c r="S1609" s="161" t="s">
        <v>634</v>
      </c>
      <c r="T1609" s="161" t="s">
        <v>141</v>
      </c>
      <c r="U1609" s="161" t="s">
        <v>73</v>
      </c>
      <c r="V1609" s="21" t="s">
        <v>1632</v>
      </c>
      <c r="W1609" s="21" t="s">
        <v>1633</v>
      </c>
      <c r="X1609" s="161" t="s">
        <v>1674</v>
      </c>
      <c r="Y1609" s="161">
        <v>1.2999999999999999E-2</v>
      </c>
      <c r="Z1609" s="161">
        <v>1.4</v>
      </c>
      <c r="AA1609" s="161" t="s">
        <v>77</v>
      </c>
      <c r="AB1609" s="161" t="s">
        <v>114</v>
      </c>
      <c r="AC1609" s="228" t="e">
        <f>HYPERLINK(#REF!,"ССЫЛКА")</f>
        <v>#REF!</v>
      </c>
      <c r="AD1609" s="170" t="s">
        <v>2859</v>
      </c>
    </row>
    <row r="1610" spans="1:30" s="161" customFormat="1" ht="39.950000000000003" hidden="1" customHeight="1" outlineLevel="1" x14ac:dyDescent="0.25">
      <c r="A1610" s="171"/>
      <c r="B1610" s="21" t="s">
        <v>1627</v>
      </c>
      <c r="C1610" s="159" t="s">
        <v>1681</v>
      </c>
      <c r="D1610" s="161">
        <v>6600</v>
      </c>
      <c r="E1610" s="161">
        <v>60</v>
      </c>
      <c r="F1610" s="161">
        <v>110</v>
      </c>
      <c r="G1610" s="161" t="s">
        <v>1682</v>
      </c>
      <c r="H1610" s="161" t="s">
        <v>138</v>
      </c>
      <c r="I1610" s="161">
        <v>65</v>
      </c>
      <c r="J1610" s="161" t="s">
        <v>389</v>
      </c>
      <c r="K1610" s="21" t="s">
        <v>106</v>
      </c>
      <c r="L1610" s="161" t="s">
        <v>1618</v>
      </c>
      <c r="M1610" s="21" t="s">
        <v>1645</v>
      </c>
      <c r="N1610" s="161" t="s">
        <v>67</v>
      </c>
      <c r="O1610" s="21" t="s">
        <v>1630</v>
      </c>
      <c r="P1610" s="161" t="s">
        <v>109</v>
      </c>
      <c r="Q1610" s="21" t="s">
        <v>70</v>
      </c>
      <c r="R1610" s="161">
        <v>80</v>
      </c>
      <c r="S1610" s="161" t="s">
        <v>634</v>
      </c>
      <c r="T1610" s="161" t="s">
        <v>141</v>
      </c>
      <c r="U1610" s="161" t="s">
        <v>73</v>
      </c>
      <c r="V1610" s="21" t="s">
        <v>1632</v>
      </c>
      <c r="W1610" s="21" t="s">
        <v>1633</v>
      </c>
      <c r="X1610" s="161" t="s">
        <v>1674</v>
      </c>
      <c r="Y1610" s="161">
        <v>1.2999999999999999E-2</v>
      </c>
      <c r="Z1610" s="161">
        <v>1.4</v>
      </c>
      <c r="AA1610" s="161" t="s">
        <v>77</v>
      </c>
      <c r="AB1610" s="161" t="s">
        <v>114</v>
      </c>
      <c r="AC1610" s="228" t="e">
        <f>HYPERLINK(#REF!,"ССЫЛКА")</f>
        <v>#REF!</v>
      </c>
      <c r="AD1610" s="170" t="s">
        <v>2859</v>
      </c>
    </row>
    <row r="1611" spans="1:30" s="161" customFormat="1" ht="39.950000000000003" hidden="1" customHeight="1" outlineLevel="1" x14ac:dyDescent="0.25">
      <c r="A1611" s="171"/>
      <c r="B1611" s="21" t="s">
        <v>1614</v>
      </c>
      <c r="C1611" s="159" t="s">
        <v>1683</v>
      </c>
      <c r="D1611" s="161">
        <v>3200</v>
      </c>
      <c r="E1611" s="161">
        <v>29</v>
      </c>
      <c r="F1611" s="161">
        <v>110</v>
      </c>
      <c r="G1611" s="161" t="s">
        <v>1684</v>
      </c>
      <c r="H1611" s="161" t="s">
        <v>1617</v>
      </c>
      <c r="I1611" s="161">
        <v>54</v>
      </c>
      <c r="J1611" s="161" t="s">
        <v>1637</v>
      </c>
      <c r="K1611" s="21" t="s">
        <v>106</v>
      </c>
      <c r="L1611" s="161" t="s">
        <v>1618</v>
      </c>
      <c r="M1611" s="21" t="s">
        <v>1685</v>
      </c>
      <c r="N1611" s="161" t="s">
        <v>108</v>
      </c>
      <c r="O1611" s="21" t="s">
        <v>1620</v>
      </c>
      <c r="P1611" s="161" t="s">
        <v>109</v>
      </c>
      <c r="Q1611" s="21" t="s">
        <v>70</v>
      </c>
      <c r="R1611" s="161">
        <v>80</v>
      </c>
      <c r="S1611" s="161" t="s">
        <v>1621</v>
      </c>
      <c r="T1611" s="161" t="s">
        <v>141</v>
      </c>
      <c r="U1611" s="161" t="s">
        <v>2007</v>
      </c>
      <c r="V1611" s="21" t="s">
        <v>1622</v>
      </c>
      <c r="W1611" s="21" t="s">
        <v>1623</v>
      </c>
      <c r="X1611" s="161" t="s">
        <v>1624</v>
      </c>
      <c r="Y1611" s="161">
        <v>1.4760000000000001E-2</v>
      </c>
      <c r="Z1611" s="161">
        <v>1.2</v>
      </c>
      <c r="AA1611" s="161" t="s">
        <v>1625</v>
      </c>
      <c r="AB1611" s="161" t="s">
        <v>1626</v>
      </c>
      <c r="AC1611" s="228" t="e">
        <f>HYPERLINK(#REF!,"ССЫЛКА")</f>
        <v>#REF!</v>
      </c>
      <c r="AD1611" s="170" t="s">
        <v>2859</v>
      </c>
    </row>
    <row r="1612" spans="1:30" s="161" customFormat="1" ht="39.950000000000003" hidden="1" customHeight="1" outlineLevel="1" x14ac:dyDescent="0.25">
      <c r="A1612" s="171"/>
      <c r="B1612" s="21" t="s">
        <v>1627</v>
      </c>
      <c r="C1612" s="159" t="s">
        <v>1628</v>
      </c>
      <c r="D1612" s="161">
        <v>3800</v>
      </c>
      <c r="E1612" s="161">
        <v>36</v>
      </c>
      <c r="F1612" s="161">
        <v>105</v>
      </c>
      <c r="G1612" s="161" t="s">
        <v>1629</v>
      </c>
      <c r="H1612" s="161" t="s">
        <v>138</v>
      </c>
      <c r="I1612" s="161">
        <v>65</v>
      </c>
      <c r="J1612" s="161" t="s">
        <v>389</v>
      </c>
      <c r="K1612" s="21" t="s">
        <v>106</v>
      </c>
      <c r="L1612" s="161" t="s">
        <v>1618</v>
      </c>
      <c r="M1612" s="21" t="s">
        <v>1619</v>
      </c>
      <c r="N1612" s="161" t="s">
        <v>108</v>
      </c>
      <c r="O1612" s="21" t="s">
        <v>1630</v>
      </c>
      <c r="P1612" s="161" t="s">
        <v>109</v>
      </c>
      <c r="Q1612" s="21" t="s">
        <v>70</v>
      </c>
      <c r="R1612" s="161">
        <v>80</v>
      </c>
      <c r="S1612" s="161" t="s">
        <v>1631</v>
      </c>
      <c r="T1612" s="161" t="s">
        <v>141</v>
      </c>
      <c r="U1612" s="161" t="s">
        <v>73</v>
      </c>
      <c r="V1612" s="21" t="s">
        <v>1632</v>
      </c>
      <c r="W1612" s="21" t="s">
        <v>1633</v>
      </c>
      <c r="X1612" s="161" t="s">
        <v>1634</v>
      </c>
      <c r="Y1612" s="161">
        <v>1.2999999999999999E-2</v>
      </c>
      <c r="Z1612" s="161">
        <v>1.2</v>
      </c>
      <c r="AA1612" s="161" t="s">
        <v>77</v>
      </c>
      <c r="AB1612" s="161" t="s">
        <v>114</v>
      </c>
      <c r="AC1612" s="228" t="e">
        <f>HYPERLINK(#REF!,"ССЫЛКА")</f>
        <v>#REF!</v>
      </c>
      <c r="AD1612" s="170" t="s">
        <v>2859</v>
      </c>
    </row>
    <row r="1613" spans="1:30" s="146" customFormat="1" ht="39.950000000000003" hidden="1" customHeight="1" outlineLevel="1" x14ac:dyDescent="0.25">
      <c r="A1613" s="114"/>
      <c r="B1613" s="114" t="s">
        <v>1614</v>
      </c>
      <c r="C1613" s="157" t="s">
        <v>1615</v>
      </c>
      <c r="D1613" s="146">
        <v>3200</v>
      </c>
      <c r="E1613" s="146">
        <v>29</v>
      </c>
      <c r="F1613" s="146">
        <v>110</v>
      </c>
      <c r="G1613" s="146" t="s">
        <v>1616</v>
      </c>
      <c r="H1613" s="146" t="s">
        <v>138</v>
      </c>
      <c r="I1613" s="146">
        <v>54</v>
      </c>
      <c r="J1613" s="146" t="s">
        <v>389</v>
      </c>
      <c r="K1613" s="114" t="s">
        <v>106</v>
      </c>
      <c r="L1613" s="146" t="s">
        <v>1618</v>
      </c>
      <c r="M1613" s="114" t="s">
        <v>1619</v>
      </c>
      <c r="N1613" s="146" t="s">
        <v>108</v>
      </c>
      <c r="O1613" s="114" t="s">
        <v>1620</v>
      </c>
      <c r="P1613" s="146" t="s">
        <v>109</v>
      </c>
      <c r="Q1613" s="114" t="s">
        <v>70</v>
      </c>
      <c r="R1613" s="146">
        <v>80</v>
      </c>
      <c r="S1613" s="146" t="s">
        <v>1621</v>
      </c>
      <c r="T1613" s="146" t="s">
        <v>141</v>
      </c>
      <c r="U1613" s="146" t="s">
        <v>2007</v>
      </c>
      <c r="V1613" s="114" t="s">
        <v>1622</v>
      </c>
      <c r="W1613" s="114" t="s">
        <v>1623</v>
      </c>
      <c r="X1613" s="146" t="s">
        <v>1624</v>
      </c>
      <c r="Y1613" s="146">
        <v>1.4760000000000001E-2</v>
      </c>
      <c r="Z1613" s="146">
        <v>1.2</v>
      </c>
      <c r="AA1613" s="146" t="s">
        <v>1625</v>
      </c>
      <c r="AB1613" s="146" t="s">
        <v>1626</v>
      </c>
      <c r="AC1613" s="236" t="e">
        <f>HYPERLINK(#REF!,"ССЫЛКА")</f>
        <v>#REF!</v>
      </c>
      <c r="AD1613" s="170" t="s">
        <v>2859</v>
      </c>
    </row>
    <row r="1614" spans="1:30" s="161" customFormat="1" ht="39.950000000000003" hidden="1" customHeight="1" outlineLevel="1" x14ac:dyDescent="0.25">
      <c r="A1614" s="21"/>
      <c r="B1614" s="21" t="s">
        <v>1614</v>
      </c>
      <c r="C1614" s="159" t="s">
        <v>1683</v>
      </c>
      <c r="D1614" s="161">
        <v>3200</v>
      </c>
      <c r="E1614" s="161">
        <v>29</v>
      </c>
      <c r="F1614" s="161">
        <v>110</v>
      </c>
      <c r="G1614" s="161" t="s">
        <v>1684</v>
      </c>
      <c r="H1614" s="161" t="s">
        <v>138</v>
      </c>
      <c r="I1614" s="161">
        <v>54</v>
      </c>
      <c r="J1614" s="21" t="s">
        <v>1637</v>
      </c>
      <c r="K1614" s="21" t="s">
        <v>106</v>
      </c>
      <c r="L1614" s="161" t="s">
        <v>1618</v>
      </c>
      <c r="M1614" s="21" t="s">
        <v>1685</v>
      </c>
      <c r="N1614" s="161" t="s">
        <v>108</v>
      </c>
      <c r="O1614" s="21" t="s">
        <v>1620</v>
      </c>
      <c r="P1614" s="161" t="s">
        <v>109</v>
      </c>
      <c r="Q1614" s="21" t="s">
        <v>70</v>
      </c>
      <c r="R1614" s="161">
        <v>80</v>
      </c>
      <c r="S1614" s="161" t="s">
        <v>1621</v>
      </c>
      <c r="T1614" s="161" t="s">
        <v>141</v>
      </c>
      <c r="U1614" s="161" t="s">
        <v>2007</v>
      </c>
      <c r="V1614" s="21" t="s">
        <v>1622</v>
      </c>
      <c r="W1614" s="21" t="s">
        <v>1623</v>
      </c>
      <c r="X1614" s="161" t="s">
        <v>1624</v>
      </c>
      <c r="Y1614" s="161">
        <v>1.4760000000000001E-2</v>
      </c>
      <c r="Z1614" s="161">
        <v>1.2</v>
      </c>
      <c r="AA1614" s="161" t="s">
        <v>1625</v>
      </c>
      <c r="AB1614" s="161" t="s">
        <v>1626</v>
      </c>
      <c r="AC1614" s="228" t="e">
        <f>HYPERLINK(#REF!,"ССЫЛКА")</f>
        <v>#REF!</v>
      </c>
      <c r="AD1614" s="170" t="s">
        <v>2859</v>
      </c>
    </row>
    <row r="1615" spans="1:30" s="161" customFormat="1" ht="39.950000000000003" hidden="1" customHeight="1" outlineLevel="1" x14ac:dyDescent="0.25">
      <c r="A1615" s="21"/>
      <c r="B1615" s="21" t="s">
        <v>1938</v>
      </c>
      <c r="C1615" s="159" t="s">
        <v>2777</v>
      </c>
      <c r="D1615" s="161">
        <v>3800</v>
      </c>
      <c r="E1615" s="161">
        <v>34</v>
      </c>
      <c r="F1615" s="161">
        <v>111</v>
      </c>
      <c r="G1615" s="161" t="s">
        <v>1939</v>
      </c>
      <c r="H1615" s="161" t="s">
        <v>138</v>
      </c>
      <c r="I1615" s="161">
        <v>40</v>
      </c>
      <c r="J1615" s="161" t="s">
        <v>105</v>
      </c>
      <c r="K1615" s="21" t="s">
        <v>106</v>
      </c>
      <c r="L1615" s="161" t="s">
        <v>3380</v>
      </c>
      <c r="M1615" s="21" t="s">
        <v>1940</v>
      </c>
      <c r="N1615" s="161" t="s">
        <v>67</v>
      </c>
      <c r="O1615" s="21" t="s">
        <v>2809</v>
      </c>
      <c r="P1615" s="161" t="s">
        <v>109</v>
      </c>
      <c r="Q1615" s="21" t="s">
        <v>1941</v>
      </c>
      <c r="R1615" s="161">
        <v>80</v>
      </c>
      <c r="S1615" s="161" t="s">
        <v>1942</v>
      </c>
      <c r="T1615" s="161" t="s">
        <v>141</v>
      </c>
      <c r="U1615" s="161" t="s">
        <v>2007</v>
      </c>
      <c r="V1615" s="21" t="s">
        <v>1943</v>
      </c>
      <c r="W1615" s="21" t="s">
        <v>1944</v>
      </c>
      <c r="X1615" s="161" t="s">
        <v>2779</v>
      </c>
      <c r="Y1615" s="161">
        <v>1.1904E-2</v>
      </c>
      <c r="Z1615" s="161">
        <v>2.5</v>
      </c>
      <c r="AA1615" s="161" t="s">
        <v>1933</v>
      </c>
      <c r="AB1615" s="161" t="s">
        <v>114</v>
      </c>
      <c r="AC1615" s="228" t="e">
        <f>HYPERLINK(#REF!,"ССЫЛКА")</f>
        <v>#REF!</v>
      </c>
      <c r="AD1615" s="170" t="s">
        <v>2859</v>
      </c>
    </row>
    <row r="1616" spans="1:30" s="161" customFormat="1" ht="39.950000000000003" hidden="1" customHeight="1" outlineLevel="1" x14ac:dyDescent="0.25">
      <c r="A1616" s="21"/>
      <c r="B1616" s="21" t="s">
        <v>1938</v>
      </c>
      <c r="C1616" s="159" t="s">
        <v>2778</v>
      </c>
      <c r="D1616" s="161">
        <v>3800</v>
      </c>
      <c r="E1616" s="161">
        <v>34</v>
      </c>
      <c r="F1616" s="161">
        <v>111</v>
      </c>
      <c r="G1616" s="161" t="s">
        <v>1945</v>
      </c>
      <c r="H1616" s="161" t="s">
        <v>138</v>
      </c>
      <c r="I1616" s="161">
        <v>40</v>
      </c>
      <c r="J1616" s="21" t="s">
        <v>1637</v>
      </c>
      <c r="K1616" s="21" t="s">
        <v>106</v>
      </c>
      <c r="L1616" s="161" t="s">
        <v>1618</v>
      </c>
      <c r="M1616" s="21" t="s">
        <v>1946</v>
      </c>
      <c r="N1616" s="161" t="s">
        <v>67</v>
      </c>
      <c r="O1616" s="21" t="s">
        <v>2809</v>
      </c>
      <c r="P1616" s="161" t="s">
        <v>109</v>
      </c>
      <c r="Q1616" s="21" t="s">
        <v>1941</v>
      </c>
      <c r="R1616" s="161">
        <v>80</v>
      </c>
      <c r="S1616" s="161" t="s">
        <v>1942</v>
      </c>
      <c r="T1616" s="161" t="s">
        <v>141</v>
      </c>
      <c r="U1616" s="161" t="s">
        <v>2007</v>
      </c>
      <c r="V1616" s="21" t="s">
        <v>1943</v>
      </c>
      <c r="W1616" s="21" t="s">
        <v>1944</v>
      </c>
      <c r="X1616" s="161" t="s">
        <v>2779</v>
      </c>
      <c r="Y1616" s="161">
        <v>1.1904E-2</v>
      </c>
      <c r="Z1616" s="161">
        <v>2.7</v>
      </c>
      <c r="AA1616" s="161" t="s">
        <v>1933</v>
      </c>
      <c r="AB1616" s="161" t="s">
        <v>114</v>
      </c>
      <c r="AC1616" s="228" t="e">
        <f>HYPERLINK(#REF!,"ССЫЛКА")</f>
        <v>#REF!</v>
      </c>
      <c r="AD1616" s="170" t="s">
        <v>2859</v>
      </c>
    </row>
    <row r="1617" spans="1:30" s="161" customFormat="1" ht="39.950000000000003" hidden="1" customHeight="1" outlineLevel="1" x14ac:dyDescent="0.25">
      <c r="A1617" s="21"/>
      <c r="B1617" s="21" t="s">
        <v>1938</v>
      </c>
      <c r="C1617" s="159" t="s">
        <v>1947</v>
      </c>
      <c r="D1617" s="161">
        <v>1900</v>
      </c>
      <c r="E1617" s="161">
        <v>17</v>
      </c>
      <c r="F1617" s="161">
        <v>111</v>
      </c>
      <c r="G1617" s="161" t="s">
        <v>1948</v>
      </c>
      <c r="H1617" s="161" t="s">
        <v>138</v>
      </c>
      <c r="I1617" s="161">
        <v>40</v>
      </c>
      <c r="J1617" s="161" t="s">
        <v>105</v>
      </c>
      <c r="K1617" s="21" t="s">
        <v>106</v>
      </c>
      <c r="L1617" s="161" t="s">
        <v>3380</v>
      </c>
      <c r="M1617" s="21" t="s">
        <v>1940</v>
      </c>
      <c r="N1617" s="161" t="s">
        <v>67</v>
      </c>
      <c r="O1617" s="21" t="s">
        <v>2809</v>
      </c>
      <c r="P1617" s="161" t="s">
        <v>109</v>
      </c>
      <c r="Q1617" s="21" t="s">
        <v>1941</v>
      </c>
      <c r="R1617" s="161">
        <v>80</v>
      </c>
      <c r="S1617" s="161" t="s">
        <v>1949</v>
      </c>
      <c r="T1617" s="161" t="s">
        <v>141</v>
      </c>
      <c r="U1617" s="161" t="s">
        <v>2007</v>
      </c>
      <c r="V1617" s="21" t="s">
        <v>1943</v>
      </c>
      <c r="W1617" s="21" t="s">
        <v>1944</v>
      </c>
      <c r="X1617" s="161" t="s">
        <v>1950</v>
      </c>
      <c r="Y1617" s="161">
        <v>1.1904E-2</v>
      </c>
      <c r="Z1617" s="161">
        <v>1.5</v>
      </c>
      <c r="AA1617" s="161" t="s">
        <v>1933</v>
      </c>
      <c r="AB1617" s="161" t="s">
        <v>114</v>
      </c>
      <c r="AC1617" s="228" t="e">
        <f>HYPERLINK(#REF!,"ССЫЛКА")</f>
        <v>#REF!</v>
      </c>
      <c r="AD1617" s="170" t="s">
        <v>2859</v>
      </c>
    </row>
    <row r="1618" spans="1:30" s="161" customFormat="1" ht="39.950000000000003" hidden="1" customHeight="1" outlineLevel="1" x14ac:dyDescent="0.25">
      <c r="A1618" s="21"/>
      <c r="B1618" s="21" t="s">
        <v>2104</v>
      </c>
      <c r="C1618" s="159" t="s">
        <v>2105</v>
      </c>
      <c r="D1618" s="161">
        <v>3000</v>
      </c>
      <c r="E1618" s="161">
        <v>27</v>
      </c>
      <c r="F1618" s="161">
        <v>111</v>
      </c>
      <c r="G1618" s="161" t="s">
        <v>2106</v>
      </c>
      <c r="H1618" s="161" t="s">
        <v>138</v>
      </c>
      <c r="I1618" s="161">
        <v>54</v>
      </c>
      <c r="J1618" s="161" t="s">
        <v>105</v>
      </c>
      <c r="K1618" s="21" t="s">
        <v>106</v>
      </c>
      <c r="L1618" s="161" t="s">
        <v>1618</v>
      </c>
      <c r="M1618" s="21" t="s">
        <v>2107</v>
      </c>
      <c r="N1618" s="161" t="s">
        <v>67</v>
      </c>
      <c r="O1618" s="21" t="s">
        <v>1630</v>
      </c>
      <c r="P1618" s="161" t="s">
        <v>109</v>
      </c>
      <c r="Q1618" s="21" t="s">
        <v>1750</v>
      </c>
      <c r="R1618" s="161">
        <v>80</v>
      </c>
      <c r="S1618" s="161" t="s">
        <v>2108</v>
      </c>
      <c r="T1618" s="161" t="s">
        <v>141</v>
      </c>
      <c r="U1618" s="161" t="s">
        <v>2007</v>
      </c>
      <c r="V1618" s="21" t="s">
        <v>1943</v>
      </c>
      <c r="W1618" s="21" t="s">
        <v>2109</v>
      </c>
      <c r="X1618" s="161" t="s">
        <v>2110</v>
      </c>
      <c r="Y1618" s="161">
        <v>0.01</v>
      </c>
      <c r="Z1618" s="161">
        <v>3.3</v>
      </c>
      <c r="AA1618" s="161" t="s">
        <v>2011</v>
      </c>
      <c r="AB1618" s="161" t="s">
        <v>114</v>
      </c>
      <c r="AC1618" s="228" t="e">
        <f>HYPERLINK(#REF!,"ССЫЛКА")</f>
        <v>#REF!</v>
      </c>
      <c r="AD1618" s="170" t="s">
        <v>2859</v>
      </c>
    </row>
    <row r="1619" spans="1:30" s="161" customFormat="1" ht="39.950000000000003" hidden="1" customHeight="1" outlineLevel="1" x14ac:dyDescent="0.25">
      <c r="A1619" s="21"/>
      <c r="B1619" s="21" t="s">
        <v>2104</v>
      </c>
      <c r="C1619" s="159" t="s">
        <v>2116</v>
      </c>
      <c r="D1619" s="161">
        <v>4800</v>
      </c>
      <c r="E1619" s="161">
        <v>43</v>
      </c>
      <c r="F1619" s="161">
        <v>111</v>
      </c>
      <c r="G1619" s="161" t="s">
        <v>2117</v>
      </c>
      <c r="H1619" s="161" t="s">
        <v>138</v>
      </c>
      <c r="I1619" s="161">
        <v>54</v>
      </c>
      <c r="J1619" s="161" t="s">
        <v>105</v>
      </c>
      <c r="K1619" s="21" t="s">
        <v>106</v>
      </c>
      <c r="L1619" s="161" t="s">
        <v>1618</v>
      </c>
      <c r="M1619" s="21" t="s">
        <v>2107</v>
      </c>
      <c r="N1619" s="161" t="s">
        <v>67</v>
      </c>
      <c r="O1619" s="21" t="s">
        <v>1630</v>
      </c>
      <c r="P1619" s="161" t="s">
        <v>109</v>
      </c>
      <c r="Q1619" s="21" t="s">
        <v>1750</v>
      </c>
      <c r="R1619" s="161">
        <v>80</v>
      </c>
      <c r="S1619" s="161" t="s">
        <v>2118</v>
      </c>
      <c r="T1619" s="161" t="s">
        <v>141</v>
      </c>
      <c r="U1619" s="161" t="s">
        <v>2007</v>
      </c>
      <c r="V1619" s="21" t="s">
        <v>1943</v>
      </c>
      <c r="W1619" s="21" t="s">
        <v>2109</v>
      </c>
      <c r="X1619" s="161" t="s">
        <v>2110</v>
      </c>
      <c r="Y1619" s="161">
        <v>0.01</v>
      </c>
      <c r="Z1619" s="161">
        <v>3.3</v>
      </c>
      <c r="AA1619" s="161" t="s">
        <v>2011</v>
      </c>
      <c r="AB1619" s="161" t="s">
        <v>114</v>
      </c>
      <c r="AC1619" s="228" t="e">
        <f>HYPERLINK(#REF!,"ССЫЛКА")</f>
        <v>#REF!</v>
      </c>
      <c r="AD1619" s="170" t="s">
        <v>2859</v>
      </c>
    </row>
    <row r="1620" spans="1:30" s="161" customFormat="1" ht="39.950000000000003" hidden="1" customHeight="1" outlineLevel="1" x14ac:dyDescent="0.25">
      <c r="A1620" s="21"/>
      <c r="B1620" s="21" t="s">
        <v>2104</v>
      </c>
      <c r="C1620" s="159" t="s">
        <v>2119</v>
      </c>
      <c r="D1620" s="161">
        <v>3500</v>
      </c>
      <c r="E1620" s="161">
        <v>27</v>
      </c>
      <c r="F1620" s="161">
        <v>129</v>
      </c>
      <c r="G1620" s="161" t="s">
        <v>2120</v>
      </c>
      <c r="H1620" s="161" t="s">
        <v>138</v>
      </c>
      <c r="I1620" s="161">
        <v>54</v>
      </c>
      <c r="J1620" s="161" t="s">
        <v>105</v>
      </c>
      <c r="K1620" s="21" t="s">
        <v>106</v>
      </c>
      <c r="L1620" s="161" t="s">
        <v>1618</v>
      </c>
      <c r="M1620" s="21" t="s">
        <v>2107</v>
      </c>
      <c r="N1620" s="161" t="s">
        <v>67</v>
      </c>
      <c r="O1620" s="21" t="s">
        <v>2060</v>
      </c>
      <c r="P1620" s="161" t="s">
        <v>109</v>
      </c>
      <c r="Q1620" s="21" t="s">
        <v>1720</v>
      </c>
      <c r="R1620" s="161">
        <v>80</v>
      </c>
      <c r="S1620" s="161" t="s">
        <v>2108</v>
      </c>
      <c r="T1620" s="161" t="s">
        <v>141</v>
      </c>
      <c r="U1620" s="161" t="s">
        <v>2007</v>
      </c>
      <c r="V1620" s="21" t="s">
        <v>1943</v>
      </c>
      <c r="W1620" s="21" t="s">
        <v>2109</v>
      </c>
      <c r="X1620" s="161" t="s">
        <v>2110</v>
      </c>
      <c r="Y1620" s="161">
        <v>0.01</v>
      </c>
      <c r="Z1620" s="161">
        <v>3.3</v>
      </c>
      <c r="AA1620" s="161" t="s">
        <v>2011</v>
      </c>
      <c r="AB1620" s="161" t="s">
        <v>114</v>
      </c>
      <c r="AC1620" s="228" t="e">
        <f>HYPERLINK(#REF!,"ССЫЛКА")</f>
        <v>#REF!</v>
      </c>
      <c r="AD1620" s="170" t="s">
        <v>2859</v>
      </c>
    </row>
    <row r="1621" spans="1:30" s="161" customFormat="1" ht="39.950000000000003" hidden="1" customHeight="1" outlineLevel="1" x14ac:dyDescent="0.25">
      <c r="A1621" s="21"/>
      <c r="B1621" s="21" t="s">
        <v>2104</v>
      </c>
      <c r="C1621" s="159" t="s">
        <v>2121</v>
      </c>
      <c r="D1621" s="161">
        <v>4460</v>
      </c>
      <c r="E1621" s="161">
        <v>34</v>
      </c>
      <c r="F1621" s="161">
        <v>131</v>
      </c>
      <c r="G1621" s="161" t="s">
        <v>2122</v>
      </c>
      <c r="H1621" s="161" t="s">
        <v>138</v>
      </c>
      <c r="I1621" s="161">
        <v>54</v>
      </c>
      <c r="J1621" s="161" t="s">
        <v>105</v>
      </c>
      <c r="K1621" s="21" t="s">
        <v>106</v>
      </c>
      <c r="L1621" s="161" t="s">
        <v>1618</v>
      </c>
      <c r="M1621" s="21" t="s">
        <v>2107</v>
      </c>
      <c r="N1621" s="161" t="s">
        <v>67</v>
      </c>
      <c r="O1621" s="21" t="s">
        <v>2060</v>
      </c>
      <c r="P1621" s="161" t="s">
        <v>109</v>
      </c>
      <c r="Q1621" s="21" t="s">
        <v>1720</v>
      </c>
      <c r="R1621" s="161">
        <v>80</v>
      </c>
      <c r="S1621" s="161" t="s">
        <v>1942</v>
      </c>
      <c r="T1621" s="161" t="s">
        <v>141</v>
      </c>
      <c r="U1621" s="161" t="s">
        <v>2007</v>
      </c>
      <c r="V1621" s="21" t="s">
        <v>1943</v>
      </c>
      <c r="W1621" s="21" t="s">
        <v>2109</v>
      </c>
      <c r="X1621" s="161" t="s">
        <v>2110</v>
      </c>
      <c r="Y1621" s="161">
        <v>0.01</v>
      </c>
      <c r="Z1621" s="161">
        <v>3.3</v>
      </c>
      <c r="AA1621" s="161" t="s">
        <v>2011</v>
      </c>
      <c r="AB1621" s="161" t="s">
        <v>114</v>
      </c>
      <c r="AC1621" s="228" t="e">
        <f>HYPERLINK(#REF!,"ССЫЛКА")</f>
        <v>#REF!</v>
      </c>
      <c r="AD1621" s="170" t="s">
        <v>2859</v>
      </c>
    </row>
    <row r="1622" spans="1:30" s="161" customFormat="1" ht="39.950000000000003" hidden="1" customHeight="1" outlineLevel="1" x14ac:dyDescent="0.25">
      <c r="A1622" s="21"/>
      <c r="B1622" s="21" t="s">
        <v>2104</v>
      </c>
      <c r="C1622" s="159" t="s">
        <v>2123</v>
      </c>
      <c r="D1622" s="161">
        <v>5050</v>
      </c>
      <c r="E1622" s="161">
        <v>38</v>
      </c>
      <c r="F1622" s="161">
        <v>132</v>
      </c>
      <c r="G1622" s="161" t="s">
        <v>2124</v>
      </c>
      <c r="H1622" s="161" t="s">
        <v>138</v>
      </c>
      <c r="I1622" s="161">
        <v>54</v>
      </c>
      <c r="J1622" s="161" t="s">
        <v>105</v>
      </c>
      <c r="K1622" s="21" t="s">
        <v>106</v>
      </c>
      <c r="L1622" s="161" t="s">
        <v>1618</v>
      </c>
      <c r="M1622" s="21" t="s">
        <v>2107</v>
      </c>
      <c r="N1622" s="161" t="s">
        <v>67</v>
      </c>
      <c r="O1622" s="21" t="s">
        <v>2060</v>
      </c>
      <c r="P1622" s="161" t="s">
        <v>109</v>
      </c>
      <c r="Q1622" s="21" t="s">
        <v>1720</v>
      </c>
      <c r="R1622" s="161">
        <v>80</v>
      </c>
      <c r="S1622" s="161" t="s">
        <v>2115</v>
      </c>
      <c r="T1622" s="161" t="s">
        <v>141</v>
      </c>
      <c r="U1622" s="161" t="s">
        <v>2007</v>
      </c>
      <c r="V1622" s="21" t="s">
        <v>1943</v>
      </c>
      <c r="W1622" s="21" t="s">
        <v>2109</v>
      </c>
      <c r="X1622" s="161" t="s">
        <v>2110</v>
      </c>
      <c r="Y1622" s="161">
        <v>0.01</v>
      </c>
      <c r="Z1622" s="161">
        <v>3.3</v>
      </c>
      <c r="AA1622" s="161" t="s">
        <v>2011</v>
      </c>
      <c r="AB1622" s="161" t="s">
        <v>114</v>
      </c>
      <c r="AC1622" s="228" t="e">
        <f>HYPERLINK(#REF!,"ССЫЛКА")</f>
        <v>#REF!</v>
      </c>
      <c r="AD1622" s="170" t="s">
        <v>2859</v>
      </c>
    </row>
    <row r="1623" spans="1:30" s="161" customFormat="1" ht="39.950000000000003" hidden="1" customHeight="1" outlineLevel="1" x14ac:dyDescent="0.25">
      <c r="A1623" s="21"/>
      <c r="B1623" s="21" t="s">
        <v>2104</v>
      </c>
      <c r="C1623" s="159" t="s">
        <v>2125</v>
      </c>
      <c r="D1623" s="161">
        <v>5700</v>
      </c>
      <c r="E1623" s="161">
        <v>43</v>
      </c>
      <c r="F1623" s="161">
        <v>132</v>
      </c>
      <c r="G1623" s="161" t="s">
        <v>2126</v>
      </c>
      <c r="H1623" s="161" t="s">
        <v>138</v>
      </c>
      <c r="I1623" s="161">
        <v>54</v>
      </c>
      <c r="J1623" s="161" t="s">
        <v>105</v>
      </c>
      <c r="K1623" s="21" t="s">
        <v>106</v>
      </c>
      <c r="L1623" s="161" t="s">
        <v>1618</v>
      </c>
      <c r="M1623" s="21" t="s">
        <v>2107</v>
      </c>
      <c r="N1623" s="161" t="s">
        <v>67</v>
      </c>
      <c r="O1623" s="21" t="s">
        <v>2060</v>
      </c>
      <c r="P1623" s="161" t="s">
        <v>109</v>
      </c>
      <c r="Q1623" s="21" t="s">
        <v>1720</v>
      </c>
      <c r="R1623" s="161">
        <v>80</v>
      </c>
      <c r="S1623" s="161" t="s">
        <v>2118</v>
      </c>
      <c r="T1623" s="161" t="s">
        <v>141</v>
      </c>
      <c r="U1623" s="161" t="s">
        <v>2007</v>
      </c>
      <c r="V1623" s="21" t="s">
        <v>1943</v>
      </c>
      <c r="W1623" s="21" t="s">
        <v>2109</v>
      </c>
      <c r="X1623" s="161" t="s">
        <v>2110</v>
      </c>
      <c r="Y1623" s="161">
        <v>0.01</v>
      </c>
      <c r="Z1623" s="161">
        <v>3.3</v>
      </c>
      <c r="AA1623" s="161" t="s">
        <v>2011</v>
      </c>
      <c r="AB1623" s="161" t="s">
        <v>114</v>
      </c>
      <c r="AC1623" s="228" t="e">
        <f>HYPERLINK(#REF!,"ССЫЛКА")</f>
        <v>#REF!</v>
      </c>
      <c r="AD1623" s="170" t="s">
        <v>2859</v>
      </c>
    </row>
    <row r="1624" spans="1:30" s="161" customFormat="1" ht="39.950000000000003" hidden="1" customHeight="1" outlineLevel="1" x14ac:dyDescent="0.25">
      <c r="A1624" s="21"/>
      <c r="B1624" s="21" t="s">
        <v>2104</v>
      </c>
      <c r="C1624" s="159" t="s">
        <v>2111</v>
      </c>
      <c r="D1624" s="161">
        <v>3800</v>
      </c>
      <c r="E1624" s="161">
        <v>34</v>
      </c>
      <c r="F1624" s="161">
        <v>111</v>
      </c>
      <c r="G1624" s="161" t="s">
        <v>2112</v>
      </c>
      <c r="H1624" s="161" t="s">
        <v>138</v>
      </c>
      <c r="I1624" s="161">
        <v>54</v>
      </c>
      <c r="J1624" s="161" t="s">
        <v>105</v>
      </c>
      <c r="K1624" s="21" t="s">
        <v>106</v>
      </c>
      <c r="L1624" s="161" t="s">
        <v>1618</v>
      </c>
      <c r="M1624" s="21" t="s">
        <v>2107</v>
      </c>
      <c r="N1624" s="161" t="s">
        <v>67</v>
      </c>
      <c r="O1624" s="21" t="s">
        <v>1630</v>
      </c>
      <c r="P1624" s="161" t="s">
        <v>109</v>
      </c>
      <c r="Q1624" s="21" t="s">
        <v>1750</v>
      </c>
      <c r="R1624" s="161">
        <v>80</v>
      </c>
      <c r="S1624" s="161" t="s">
        <v>1942</v>
      </c>
      <c r="T1624" s="161" t="s">
        <v>141</v>
      </c>
      <c r="U1624" s="161" t="s">
        <v>2007</v>
      </c>
      <c r="V1624" s="21" t="s">
        <v>1943</v>
      </c>
      <c r="W1624" s="21" t="s">
        <v>2109</v>
      </c>
      <c r="X1624" s="161" t="s">
        <v>2110</v>
      </c>
      <c r="Y1624" s="161">
        <v>0.01</v>
      </c>
      <c r="Z1624" s="161">
        <v>3.3</v>
      </c>
      <c r="AA1624" s="161" t="s">
        <v>2011</v>
      </c>
      <c r="AB1624" s="161" t="s">
        <v>114</v>
      </c>
      <c r="AC1624" s="228" t="e">
        <f>HYPERLINK(#REF!,"ССЫЛКА")</f>
        <v>#REF!</v>
      </c>
      <c r="AD1624" s="170" t="s">
        <v>2859</v>
      </c>
    </row>
    <row r="1625" spans="1:30" s="161" customFormat="1" ht="39.950000000000003" hidden="1" customHeight="1" outlineLevel="1" x14ac:dyDescent="0.25">
      <c r="A1625" s="21"/>
      <c r="B1625" s="21" t="s">
        <v>1614</v>
      </c>
      <c r="C1625" s="159" t="s">
        <v>1918</v>
      </c>
      <c r="D1625" s="161">
        <v>3200</v>
      </c>
      <c r="E1625" s="161">
        <v>29</v>
      </c>
      <c r="F1625" s="161">
        <v>110</v>
      </c>
      <c r="G1625" s="161" t="s">
        <v>1919</v>
      </c>
      <c r="H1625" s="161" t="s">
        <v>138</v>
      </c>
      <c r="I1625" s="161">
        <v>54</v>
      </c>
      <c r="J1625" s="161" t="s">
        <v>389</v>
      </c>
      <c r="K1625" s="21" t="s">
        <v>106</v>
      </c>
      <c r="L1625" s="161" t="s">
        <v>1618</v>
      </c>
      <c r="M1625" s="21" t="s">
        <v>568</v>
      </c>
      <c r="N1625" s="161" t="s">
        <v>108</v>
      </c>
      <c r="O1625" s="21" t="s">
        <v>1620</v>
      </c>
      <c r="P1625" s="161" t="s">
        <v>109</v>
      </c>
      <c r="Q1625" s="21" t="s">
        <v>70</v>
      </c>
      <c r="R1625" s="161">
        <v>80</v>
      </c>
      <c r="S1625" s="161" t="s">
        <v>1621</v>
      </c>
      <c r="T1625" s="161" t="s">
        <v>141</v>
      </c>
      <c r="U1625" s="161" t="s">
        <v>2007</v>
      </c>
      <c r="V1625" s="21" t="s">
        <v>1622</v>
      </c>
      <c r="W1625" s="21" t="s">
        <v>1623</v>
      </c>
      <c r="X1625" s="161" t="s">
        <v>1912</v>
      </c>
      <c r="Y1625" s="161">
        <v>1.4760000000000001E-2</v>
      </c>
      <c r="Z1625" s="161">
        <v>1.3</v>
      </c>
      <c r="AA1625" s="161" t="s">
        <v>1625</v>
      </c>
      <c r="AB1625" s="161" t="s">
        <v>1626</v>
      </c>
      <c r="AC1625" s="228" t="e">
        <f>HYPERLINK(#REF!,"ССЫЛКА")</f>
        <v>#REF!</v>
      </c>
      <c r="AD1625" s="170" t="s">
        <v>2859</v>
      </c>
    </row>
    <row r="1626" spans="1:30" s="161" customFormat="1" ht="39.950000000000003" hidden="1" customHeight="1" outlineLevel="1" x14ac:dyDescent="0.25">
      <c r="A1626" s="21"/>
      <c r="B1626" s="21" t="s">
        <v>1614</v>
      </c>
      <c r="C1626" s="159" t="s">
        <v>1920</v>
      </c>
      <c r="D1626" s="161">
        <v>3200</v>
      </c>
      <c r="E1626" s="161">
        <v>29</v>
      </c>
      <c r="F1626" s="161">
        <v>110</v>
      </c>
      <c r="G1626" s="161" t="s">
        <v>1921</v>
      </c>
      <c r="H1626" s="161" t="s">
        <v>138</v>
      </c>
      <c r="I1626" s="161">
        <v>54</v>
      </c>
      <c r="J1626" s="161" t="s">
        <v>389</v>
      </c>
      <c r="K1626" s="21" t="s">
        <v>106</v>
      </c>
      <c r="L1626" s="161" t="s">
        <v>1618</v>
      </c>
      <c r="M1626" s="21" t="s">
        <v>1742</v>
      </c>
      <c r="N1626" s="161" t="s">
        <v>108</v>
      </c>
      <c r="O1626" s="21" t="s">
        <v>1620</v>
      </c>
      <c r="P1626" s="161" t="s">
        <v>109</v>
      </c>
      <c r="Q1626" s="21" t="s">
        <v>70</v>
      </c>
      <c r="R1626" s="161">
        <v>80</v>
      </c>
      <c r="S1626" s="161" t="s">
        <v>1621</v>
      </c>
      <c r="T1626" s="161" t="s">
        <v>141</v>
      </c>
      <c r="U1626" s="161" t="s">
        <v>2007</v>
      </c>
      <c r="V1626" s="21" t="s">
        <v>1622</v>
      </c>
      <c r="W1626" s="21" t="s">
        <v>1623</v>
      </c>
      <c r="X1626" s="161" t="s">
        <v>1912</v>
      </c>
      <c r="Y1626" s="161">
        <v>1.4760000000000001E-2</v>
      </c>
      <c r="Z1626" s="161">
        <v>1.3</v>
      </c>
      <c r="AA1626" s="161" t="s">
        <v>1625</v>
      </c>
      <c r="AB1626" s="161" t="s">
        <v>1626</v>
      </c>
      <c r="AC1626" s="228" t="e">
        <f>HYPERLINK(#REF!,"ССЫЛКА")</f>
        <v>#REF!</v>
      </c>
      <c r="AD1626" s="170" t="s">
        <v>2859</v>
      </c>
    </row>
    <row r="1627" spans="1:30" s="161" customFormat="1" ht="39.950000000000003" hidden="1" customHeight="1" outlineLevel="1" x14ac:dyDescent="0.25">
      <c r="A1627" s="21"/>
      <c r="B1627" s="21" t="s">
        <v>1614</v>
      </c>
      <c r="C1627" s="159" t="s">
        <v>1922</v>
      </c>
      <c r="D1627" s="161">
        <v>3200</v>
      </c>
      <c r="E1627" s="161">
        <v>29</v>
      </c>
      <c r="F1627" s="161">
        <v>110</v>
      </c>
      <c r="G1627" s="161" t="s">
        <v>1923</v>
      </c>
      <c r="H1627" s="161" t="s">
        <v>138</v>
      </c>
      <c r="I1627" s="161">
        <v>54</v>
      </c>
      <c r="J1627" s="161" t="s">
        <v>1637</v>
      </c>
      <c r="K1627" s="21" t="s">
        <v>106</v>
      </c>
      <c r="L1627" s="161" t="s">
        <v>1618</v>
      </c>
      <c r="M1627" s="21" t="s">
        <v>1685</v>
      </c>
      <c r="N1627" s="161" t="s">
        <v>108</v>
      </c>
      <c r="O1627" s="21" t="s">
        <v>1620</v>
      </c>
      <c r="P1627" s="161" t="s">
        <v>109</v>
      </c>
      <c r="Q1627" s="21" t="s">
        <v>70</v>
      </c>
      <c r="R1627" s="161">
        <v>80</v>
      </c>
      <c r="S1627" s="161" t="s">
        <v>1621</v>
      </c>
      <c r="T1627" s="161" t="s">
        <v>141</v>
      </c>
      <c r="U1627" s="161" t="s">
        <v>2007</v>
      </c>
      <c r="V1627" s="21" t="s">
        <v>1622</v>
      </c>
      <c r="W1627" s="21" t="s">
        <v>1623</v>
      </c>
      <c r="X1627" s="161" t="s">
        <v>1912</v>
      </c>
      <c r="Y1627" s="161">
        <v>1.4760000000000001E-2</v>
      </c>
      <c r="Z1627" s="161">
        <v>1.3</v>
      </c>
      <c r="AA1627" s="161" t="s">
        <v>1625</v>
      </c>
      <c r="AB1627" s="161" t="s">
        <v>1626</v>
      </c>
      <c r="AC1627" s="228" t="e">
        <f>HYPERLINK(#REF!,"ССЫЛКА")</f>
        <v>#REF!</v>
      </c>
      <c r="AD1627" s="170" t="s">
        <v>2859</v>
      </c>
    </row>
    <row r="1628" spans="1:30" s="161" customFormat="1" ht="39.950000000000003" hidden="1" customHeight="1" outlineLevel="1" x14ac:dyDescent="0.25">
      <c r="B1628" s="21" t="s">
        <v>1929</v>
      </c>
      <c r="C1628" s="159" t="s">
        <v>3283</v>
      </c>
      <c r="D1628" s="161">
        <v>3816</v>
      </c>
      <c r="E1628" s="161">
        <v>36</v>
      </c>
      <c r="F1628" s="167">
        <v>106</v>
      </c>
      <c r="G1628" s="161" t="s">
        <v>3278</v>
      </c>
      <c r="H1628" s="161" t="s">
        <v>138</v>
      </c>
      <c r="I1628" s="161">
        <v>20</v>
      </c>
      <c r="J1628" s="161" t="s">
        <v>105</v>
      </c>
      <c r="K1628" s="21" t="s">
        <v>106</v>
      </c>
      <c r="L1628" s="161" t="s">
        <v>3380</v>
      </c>
      <c r="M1628" s="21" t="s">
        <v>1619</v>
      </c>
      <c r="N1628" s="161" t="s">
        <v>67</v>
      </c>
      <c r="O1628" s="21" t="s">
        <v>2131</v>
      </c>
      <c r="P1628" s="161" t="s">
        <v>109</v>
      </c>
      <c r="Q1628" s="21" t="s">
        <v>2288</v>
      </c>
      <c r="R1628" s="161">
        <v>80</v>
      </c>
      <c r="S1628" s="161" t="s">
        <v>3287</v>
      </c>
      <c r="T1628" s="161" t="s">
        <v>1768</v>
      </c>
      <c r="U1628" s="161" t="s">
        <v>2007</v>
      </c>
      <c r="V1628" s="21" t="s">
        <v>1931</v>
      </c>
      <c r="W1628" s="21" t="s">
        <v>1952</v>
      </c>
      <c r="X1628" s="161" t="s">
        <v>1951</v>
      </c>
      <c r="Y1628" s="161">
        <v>2.3064000000000001E-2</v>
      </c>
      <c r="Z1628" s="161">
        <v>3.19</v>
      </c>
      <c r="AA1628" s="161" t="s">
        <v>1933</v>
      </c>
      <c r="AB1628" s="161" t="s">
        <v>114</v>
      </c>
      <c r="AC1628" s="228" t="e">
        <f>HYPERLINK(#REF!,"ССЫЛКА")</f>
        <v>#REF!</v>
      </c>
      <c r="AD1628" s="170" t="s">
        <v>2859</v>
      </c>
    </row>
    <row r="1629" spans="1:30" s="161" customFormat="1" ht="39.950000000000003" hidden="1" customHeight="1" outlineLevel="1" x14ac:dyDescent="0.25">
      <c r="B1629" s="21" t="s">
        <v>1929</v>
      </c>
      <c r="C1629" s="159" t="s">
        <v>3284</v>
      </c>
      <c r="D1629" s="161">
        <v>3456</v>
      </c>
      <c r="E1629" s="161">
        <v>36</v>
      </c>
      <c r="F1629" s="167">
        <v>96</v>
      </c>
      <c r="G1629" s="161" t="s">
        <v>3279</v>
      </c>
      <c r="H1629" s="161" t="s">
        <v>138</v>
      </c>
      <c r="I1629" s="161">
        <v>20</v>
      </c>
      <c r="J1629" s="161" t="s">
        <v>105</v>
      </c>
      <c r="K1629" s="21" t="s">
        <v>106</v>
      </c>
      <c r="L1629" s="161" t="s">
        <v>3380</v>
      </c>
      <c r="M1629" s="21" t="s">
        <v>1619</v>
      </c>
      <c r="N1629" s="161" t="s">
        <v>67</v>
      </c>
      <c r="O1629" s="21" t="s">
        <v>2809</v>
      </c>
      <c r="P1629" s="161" t="s">
        <v>109</v>
      </c>
      <c r="Q1629" s="21" t="s">
        <v>2288</v>
      </c>
      <c r="R1629" s="161">
        <v>80</v>
      </c>
      <c r="S1629" s="161" t="s">
        <v>3287</v>
      </c>
      <c r="T1629" s="161" t="s">
        <v>1768</v>
      </c>
      <c r="U1629" s="161" t="s">
        <v>2007</v>
      </c>
      <c r="V1629" s="21" t="s">
        <v>1931</v>
      </c>
      <c r="W1629" s="21" t="s">
        <v>1952</v>
      </c>
      <c r="X1629" s="161" t="s">
        <v>1951</v>
      </c>
      <c r="Y1629" s="161">
        <v>2.3064000000000001E-2</v>
      </c>
      <c r="Z1629" s="161">
        <v>3.19</v>
      </c>
      <c r="AA1629" s="161" t="s">
        <v>1933</v>
      </c>
      <c r="AB1629" s="161" t="s">
        <v>114</v>
      </c>
      <c r="AC1629" s="228" t="e">
        <f>HYPERLINK(#REF!,"ССЫЛКА")</f>
        <v>#REF!</v>
      </c>
      <c r="AD1629" s="170" t="s">
        <v>2859</v>
      </c>
    </row>
    <row r="1630" spans="1:30" s="161" customFormat="1" ht="39.950000000000003" hidden="1" customHeight="1" outlineLevel="1" x14ac:dyDescent="0.25">
      <c r="B1630" s="21" t="s">
        <v>1929</v>
      </c>
      <c r="C1630" s="159" t="s">
        <v>3285</v>
      </c>
      <c r="D1630" s="161">
        <v>3816</v>
      </c>
      <c r="E1630" s="161">
        <v>36</v>
      </c>
      <c r="F1630" s="167">
        <v>106</v>
      </c>
      <c r="G1630" s="161" t="s">
        <v>3280</v>
      </c>
      <c r="H1630" s="161" t="s">
        <v>138</v>
      </c>
      <c r="I1630" s="161">
        <v>20</v>
      </c>
      <c r="J1630" s="161" t="s">
        <v>105</v>
      </c>
      <c r="K1630" s="21" t="s">
        <v>106</v>
      </c>
      <c r="L1630" s="161" t="s">
        <v>3380</v>
      </c>
      <c r="M1630" s="21" t="s">
        <v>1619</v>
      </c>
      <c r="N1630" s="161" t="s">
        <v>67</v>
      </c>
      <c r="O1630" s="21" t="s">
        <v>2131</v>
      </c>
      <c r="P1630" s="161" t="s">
        <v>109</v>
      </c>
      <c r="Q1630" s="21" t="s">
        <v>2288</v>
      </c>
      <c r="R1630" s="161">
        <v>80</v>
      </c>
      <c r="S1630" s="161" t="s">
        <v>3287</v>
      </c>
      <c r="T1630" s="161" t="s">
        <v>1768</v>
      </c>
      <c r="U1630" s="161" t="s">
        <v>2007</v>
      </c>
      <c r="V1630" s="21" t="s">
        <v>1931</v>
      </c>
      <c r="W1630" s="21" t="s">
        <v>1952</v>
      </c>
      <c r="X1630" s="161" t="s">
        <v>1932</v>
      </c>
      <c r="Y1630" s="161">
        <v>1.4760000000000001E-2</v>
      </c>
      <c r="Z1630" s="161">
        <v>2.2999999999999998</v>
      </c>
      <c r="AA1630" s="161" t="s">
        <v>1933</v>
      </c>
      <c r="AB1630" s="161" t="s">
        <v>114</v>
      </c>
      <c r="AC1630" s="228" t="e">
        <f>HYPERLINK(#REF!,"ССЫЛКА")</f>
        <v>#REF!</v>
      </c>
      <c r="AD1630" s="170" t="s">
        <v>2859</v>
      </c>
    </row>
    <row r="1631" spans="1:30" s="161" customFormat="1" ht="39.950000000000003" hidden="1" customHeight="1" outlineLevel="1" x14ac:dyDescent="0.25">
      <c r="B1631" s="21" t="s">
        <v>1929</v>
      </c>
      <c r="C1631" s="159" t="s">
        <v>3286</v>
      </c>
      <c r="D1631" s="161">
        <v>3456</v>
      </c>
      <c r="E1631" s="161">
        <v>36</v>
      </c>
      <c r="F1631" s="167">
        <v>96</v>
      </c>
      <c r="G1631" s="161" t="s">
        <v>3281</v>
      </c>
      <c r="H1631" s="161" t="s">
        <v>138</v>
      </c>
      <c r="I1631" s="161">
        <v>20</v>
      </c>
      <c r="J1631" s="161" t="s">
        <v>105</v>
      </c>
      <c r="K1631" s="21" t="s">
        <v>106</v>
      </c>
      <c r="L1631" s="161" t="s">
        <v>3380</v>
      </c>
      <c r="M1631" s="21" t="s">
        <v>1619</v>
      </c>
      <c r="N1631" s="161" t="s">
        <v>67</v>
      </c>
      <c r="O1631" s="21" t="s">
        <v>2809</v>
      </c>
      <c r="P1631" s="161" t="s">
        <v>109</v>
      </c>
      <c r="Q1631" s="21" t="s">
        <v>2288</v>
      </c>
      <c r="R1631" s="161">
        <v>80</v>
      </c>
      <c r="S1631" s="161" t="s">
        <v>3287</v>
      </c>
      <c r="T1631" s="161" t="s">
        <v>1768</v>
      </c>
      <c r="U1631" s="161" t="s">
        <v>2007</v>
      </c>
      <c r="V1631" s="21" t="s">
        <v>1931</v>
      </c>
      <c r="W1631" s="21" t="s">
        <v>1952</v>
      </c>
      <c r="X1631" s="161" t="s">
        <v>1932</v>
      </c>
      <c r="Y1631" s="161">
        <v>1.4760000000000001E-2</v>
      </c>
      <c r="Z1631" s="161">
        <v>2.2999999999999998</v>
      </c>
      <c r="AA1631" s="161" t="s">
        <v>1933</v>
      </c>
      <c r="AB1631" s="161" t="s">
        <v>114</v>
      </c>
      <c r="AC1631" s="228" t="e">
        <f>HYPERLINK(#REF!,"ССЫЛКА")</f>
        <v>#REF!</v>
      </c>
      <c r="AD1631" s="170" t="s">
        <v>2859</v>
      </c>
    </row>
    <row r="1632" spans="1:30" s="161" customFormat="1" ht="39.950000000000003" hidden="1" customHeight="1" outlineLevel="1" x14ac:dyDescent="0.25">
      <c r="A1632" s="21"/>
      <c r="B1632" s="21" t="s">
        <v>1614</v>
      </c>
      <c r="C1632" s="159" t="s">
        <v>1909</v>
      </c>
      <c r="D1632" s="161">
        <v>3200</v>
      </c>
      <c r="E1632" s="161">
        <v>29</v>
      </c>
      <c r="F1632" s="161">
        <v>110</v>
      </c>
      <c r="G1632" s="161" t="s">
        <v>1910</v>
      </c>
      <c r="H1632" s="161" t="s">
        <v>138</v>
      </c>
      <c r="I1632" s="161">
        <v>54</v>
      </c>
      <c r="J1632" s="161" t="s">
        <v>389</v>
      </c>
      <c r="K1632" s="21" t="s">
        <v>106</v>
      </c>
      <c r="L1632" s="161" t="s">
        <v>1618</v>
      </c>
      <c r="M1632" s="21" t="s">
        <v>1911</v>
      </c>
      <c r="N1632" s="161" t="s">
        <v>108</v>
      </c>
      <c r="O1632" s="21" t="s">
        <v>1620</v>
      </c>
      <c r="P1632" s="161" t="s">
        <v>109</v>
      </c>
      <c r="Q1632" s="21" t="s">
        <v>70</v>
      </c>
      <c r="R1632" s="161">
        <v>80</v>
      </c>
      <c r="S1632" s="161" t="s">
        <v>1621</v>
      </c>
      <c r="T1632" s="161" t="s">
        <v>141</v>
      </c>
      <c r="U1632" s="161" t="s">
        <v>2007</v>
      </c>
      <c r="V1632" s="21" t="s">
        <v>1622</v>
      </c>
      <c r="W1632" s="21" t="s">
        <v>1623</v>
      </c>
      <c r="X1632" s="161" t="s">
        <v>1912</v>
      </c>
      <c r="Y1632" s="161">
        <v>1.4760000000000001E-2</v>
      </c>
      <c r="Z1632" s="161">
        <v>1.2</v>
      </c>
      <c r="AA1632" s="161" t="s">
        <v>1625</v>
      </c>
      <c r="AB1632" s="161" t="s">
        <v>1626</v>
      </c>
      <c r="AC1632" s="228" t="e">
        <f>HYPERLINK(#REF!,"ССЫЛКА")</f>
        <v>#REF!</v>
      </c>
      <c r="AD1632" s="170" t="s">
        <v>2859</v>
      </c>
    </row>
    <row r="1633" spans="1:30" s="161" customFormat="1" ht="39.950000000000003" hidden="1" customHeight="1" outlineLevel="1" x14ac:dyDescent="0.25">
      <c r="A1633" s="21"/>
      <c r="B1633" s="21" t="s">
        <v>1614</v>
      </c>
      <c r="C1633" s="159" t="s">
        <v>1913</v>
      </c>
      <c r="D1633" s="161">
        <v>4000</v>
      </c>
      <c r="E1633" s="161">
        <v>27</v>
      </c>
      <c r="F1633" s="161">
        <v>148</v>
      </c>
      <c r="G1633" s="161" t="s">
        <v>1914</v>
      </c>
      <c r="H1633" s="161" t="s">
        <v>138</v>
      </c>
      <c r="I1633" s="161">
        <v>54</v>
      </c>
      <c r="J1633" s="161" t="s">
        <v>389</v>
      </c>
      <c r="K1633" s="21" t="s">
        <v>106</v>
      </c>
      <c r="L1633" s="161" t="s">
        <v>1618</v>
      </c>
      <c r="M1633" s="21" t="s">
        <v>1911</v>
      </c>
      <c r="N1633" s="161" t="s">
        <v>108</v>
      </c>
      <c r="O1633" s="21" t="s">
        <v>1620</v>
      </c>
      <c r="P1633" s="161" t="s">
        <v>109</v>
      </c>
      <c r="Q1633" s="21" t="s">
        <v>70</v>
      </c>
      <c r="R1633" s="161">
        <v>80</v>
      </c>
      <c r="S1633" s="161" t="s">
        <v>1621</v>
      </c>
      <c r="T1633" s="161" t="s">
        <v>141</v>
      </c>
      <c r="U1633" s="161" t="s">
        <v>2007</v>
      </c>
      <c r="V1633" s="21" t="s">
        <v>1622</v>
      </c>
      <c r="W1633" s="21" t="s">
        <v>1623</v>
      </c>
      <c r="X1633" s="161" t="s">
        <v>1912</v>
      </c>
      <c r="Y1633" s="161">
        <v>1.4760000000000001E-2</v>
      </c>
      <c r="Z1633" s="161">
        <v>1.2</v>
      </c>
      <c r="AA1633" s="161" t="s">
        <v>1625</v>
      </c>
      <c r="AB1633" s="161" t="s">
        <v>1626</v>
      </c>
      <c r="AC1633" s="228" t="e">
        <f>HYPERLINK(#REF!,"ССЫЛКА")</f>
        <v>#REF!</v>
      </c>
      <c r="AD1633" s="170" t="s">
        <v>2859</v>
      </c>
    </row>
    <row r="1634" spans="1:30" s="161" customFormat="1" ht="39.950000000000003" hidden="1" customHeight="1" outlineLevel="1" x14ac:dyDescent="0.25">
      <c r="A1634" s="21"/>
      <c r="B1634" s="21" t="s">
        <v>1614</v>
      </c>
      <c r="C1634" s="159" t="s">
        <v>1915</v>
      </c>
      <c r="D1634" s="161">
        <v>4460</v>
      </c>
      <c r="E1634" s="161">
        <v>34</v>
      </c>
      <c r="F1634" s="161">
        <v>131</v>
      </c>
      <c r="G1634" s="161" t="s">
        <v>1916</v>
      </c>
      <c r="H1634" s="161" t="s">
        <v>138</v>
      </c>
      <c r="I1634" s="161">
        <v>54</v>
      </c>
      <c r="J1634" s="161" t="s">
        <v>389</v>
      </c>
      <c r="K1634" s="21" t="s">
        <v>106</v>
      </c>
      <c r="L1634" s="161" t="s">
        <v>1618</v>
      </c>
      <c r="M1634" s="21" t="s">
        <v>1911</v>
      </c>
      <c r="N1634" s="161" t="s">
        <v>108</v>
      </c>
      <c r="O1634" s="21" t="s">
        <v>1620</v>
      </c>
      <c r="P1634" s="161" t="s">
        <v>109</v>
      </c>
      <c r="Q1634" s="21" t="s">
        <v>70</v>
      </c>
      <c r="R1634" s="161">
        <v>80</v>
      </c>
      <c r="S1634" s="161" t="s">
        <v>1917</v>
      </c>
      <c r="T1634" s="161" t="s">
        <v>141</v>
      </c>
      <c r="U1634" s="161" t="s">
        <v>2007</v>
      </c>
      <c r="V1634" s="21" t="s">
        <v>1622</v>
      </c>
      <c r="W1634" s="21" t="s">
        <v>1623</v>
      </c>
      <c r="X1634" s="161" t="s">
        <v>1912</v>
      </c>
      <c r="Y1634" s="161">
        <v>1.4760000000000001E-2</v>
      </c>
      <c r="Z1634" s="161">
        <v>1.2</v>
      </c>
      <c r="AA1634" s="161" t="s">
        <v>1625</v>
      </c>
      <c r="AB1634" s="161" t="s">
        <v>1626</v>
      </c>
      <c r="AC1634" s="228" t="e">
        <f>HYPERLINK(#REF!,"ССЫЛКА")</f>
        <v>#REF!</v>
      </c>
      <c r="AD1634" s="170" t="s">
        <v>2859</v>
      </c>
    </row>
    <row r="1635" spans="1:30" s="161" customFormat="1" ht="39.950000000000003" hidden="1" customHeight="1" outlineLevel="1" x14ac:dyDescent="0.25">
      <c r="A1635" s="171"/>
      <c r="B1635" s="21" t="s">
        <v>1686</v>
      </c>
      <c r="C1635" s="159" t="s">
        <v>1687</v>
      </c>
      <c r="D1635" s="168">
        <v>3840</v>
      </c>
      <c r="E1635" s="161">
        <v>30</v>
      </c>
      <c r="F1635" s="161">
        <v>128</v>
      </c>
      <c r="G1635" s="161" t="s">
        <v>1688</v>
      </c>
      <c r="H1635" s="161" t="s">
        <v>138</v>
      </c>
      <c r="I1635" s="161">
        <v>65</v>
      </c>
      <c r="J1635" s="161" t="s">
        <v>389</v>
      </c>
      <c r="K1635" s="21" t="s">
        <v>106</v>
      </c>
      <c r="L1635" s="161" t="s">
        <v>3380</v>
      </c>
      <c r="M1635" s="21" t="s">
        <v>1689</v>
      </c>
      <c r="N1635" s="161" t="s">
        <v>67</v>
      </c>
      <c r="O1635" s="21" t="s">
        <v>1690</v>
      </c>
      <c r="P1635" s="161" t="s">
        <v>109</v>
      </c>
      <c r="Q1635" s="21" t="s">
        <v>70</v>
      </c>
      <c r="R1635" s="161">
        <v>80</v>
      </c>
      <c r="S1635" s="161" t="s">
        <v>1691</v>
      </c>
      <c r="T1635" s="161" t="s">
        <v>1692</v>
      </c>
      <c r="U1635" s="161" t="s">
        <v>73</v>
      </c>
      <c r="V1635" s="21" t="s">
        <v>1693</v>
      </c>
      <c r="W1635" s="21" t="s">
        <v>1694</v>
      </c>
      <c r="X1635" s="161" t="s">
        <v>1695</v>
      </c>
      <c r="Y1635" s="161">
        <v>1.8162375000000001E-2</v>
      </c>
      <c r="Z1635" s="161">
        <v>2.1150000000000002</v>
      </c>
      <c r="AA1635" s="161" t="s">
        <v>77</v>
      </c>
      <c r="AB1635" s="161" t="s">
        <v>114</v>
      </c>
      <c r="AC1635" s="228" t="e">
        <f>HYPERLINK(#REF!,"ССЫЛКА")</f>
        <v>#REF!</v>
      </c>
      <c r="AD1635" s="170" t="s">
        <v>2859</v>
      </c>
    </row>
    <row r="1636" spans="1:30" s="161" customFormat="1" ht="39.950000000000003" hidden="1" customHeight="1" outlineLevel="1" x14ac:dyDescent="0.25">
      <c r="A1636" s="171"/>
      <c r="B1636" s="21" t="s">
        <v>1686</v>
      </c>
      <c r="C1636" s="159" t="s">
        <v>1696</v>
      </c>
      <c r="D1636" s="168">
        <v>3390</v>
      </c>
      <c r="E1636" s="161">
        <v>30</v>
      </c>
      <c r="F1636" s="161">
        <v>113</v>
      </c>
      <c r="G1636" s="161" t="s">
        <v>1697</v>
      </c>
      <c r="H1636" s="161" t="s">
        <v>138</v>
      </c>
      <c r="I1636" s="161">
        <v>65</v>
      </c>
      <c r="J1636" s="161" t="s">
        <v>389</v>
      </c>
      <c r="K1636" s="21" t="s">
        <v>106</v>
      </c>
      <c r="L1636" s="161" t="s">
        <v>3380</v>
      </c>
      <c r="M1636" s="21" t="s">
        <v>1689</v>
      </c>
      <c r="N1636" s="161" t="s">
        <v>67</v>
      </c>
      <c r="O1636" s="21" t="s">
        <v>1630</v>
      </c>
      <c r="P1636" s="161" t="s">
        <v>109</v>
      </c>
      <c r="Q1636" s="21" t="s">
        <v>70</v>
      </c>
      <c r="R1636" s="161">
        <v>80</v>
      </c>
      <c r="S1636" s="161" t="s">
        <v>1691</v>
      </c>
      <c r="T1636" s="161" t="s">
        <v>1692</v>
      </c>
      <c r="U1636" s="161" t="s">
        <v>73</v>
      </c>
      <c r="V1636" s="21" t="s">
        <v>1693</v>
      </c>
      <c r="W1636" s="21" t="s">
        <v>1694</v>
      </c>
      <c r="X1636" s="161" t="s">
        <v>1695</v>
      </c>
      <c r="Y1636" s="161">
        <v>1.8162375000000001E-2</v>
      </c>
      <c r="Z1636" s="161">
        <v>2.1150000000000002</v>
      </c>
      <c r="AA1636" s="161" t="s">
        <v>77</v>
      </c>
      <c r="AB1636" s="161" t="s">
        <v>114</v>
      </c>
      <c r="AC1636" s="228" t="e">
        <f>HYPERLINK(#REF!,"ССЫЛКА")</f>
        <v>#REF!</v>
      </c>
      <c r="AD1636" s="170" t="s">
        <v>2859</v>
      </c>
    </row>
    <row r="1637" spans="1:30" s="161" customFormat="1" ht="39.950000000000003" hidden="1" customHeight="1" outlineLevel="1" x14ac:dyDescent="0.25">
      <c r="A1637" s="171"/>
      <c r="B1637" s="21" t="s">
        <v>1686</v>
      </c>
      <c r="C1637" s="159" t="s">
        <v>1698</v>
      </c>
      <c r="D1637" s="168">
        <v>5120</v>
      </c>
      <c r="E1637" s="161">
        <v>40</v>
      </c>
      <c r="F1637" s="161">
        <v>128</v>
      </c>
      <c r="G1637" s="161" t="s">
        <v>1699</v>
      </c>
      <c r="H1637" s="161" t="s">
        <v>138</v>
      </c>
      <c r="I1637" s="161">
        <v>65</v>
      </c>
      <c r="J1637" s="161" t="s">
        <v>389</v>
      </c>
      <c r="K1637" s="21" t="s">
        <v>106</v>
      </c>
      <c r="L1637" s="161" t="s">
        <v>3380</v>
      </c>
      <c r="M1637" s="21" t="s">
        <v>568</v>
      </c>
      <c r="N1637" s="161" t="s">
        <v>67</v>
      </c>
      <c r="O1637" s="21" t="s">
        <v>1690</v>
      </c>
      <c r="P1637" s="161" t="s">
        <v>109</v>
      </c>
      <c r="Q1637" s="21" t="s">
        <v>70</v>
      </c>
      <c r="R1637" s="161">
        <v>80</v>
      </c>
      <c r="S1637" s="161" t="s">
        <v>1700</v>
      </c>
      <c r="T1637" s="161" t="s">
        <v>1692</v>
      </c>
      <c r="U1637" s="161" t="s">
        <v>73</v>
      </c>
      <c r="V1637" s="21" t="s">
        <v>1693</v>
      </c>
      <c r="W1637" s="21" t="s">
        <v>1694</v>
      </c>
      <c r="X1637" s="161" t="s">
        <v>1695</v>
      </c>
      <c r="Y1637" s="161">
        <v>1.8162375000000001E-2</v>
      </c>
      <c r="Z1637" s="161">
        <v>2.1150000000000002</v>
      </c>
      <c r="AA1637" s="161" t="s">
        <v>77</v>
      </c>
      <c r="AB1637" s="161" t="s">
        <v>114</v>
      </c>
      <c r="AC1637" s="228" t="e">
        <f>HYPERLINK(#REF!,"ССЫЛКА")</f>
        <v>#REF!</v>
      </c>
      <c r="AD1637" s="170" t="s">
        <v>2859</v>
      </c>
    </row>
    <row r="1638" spans="1:30" s="161" customFormat="1" ht="39.950000000000003" hidden="1" customHeight="1" outlineLevel="1" x14ac:dyDescent="0.25">
      <c r="A1638" s="171"/>
      <c r="B1638" s="21" t="s">
        <v>1686</v>
      </c>
      <c r="C1638" s="159" t="s">
        <v>1701</v>
      </c>
      <c r="D1638" s="168">
        <v>4520</v>
      </c>
      <c r="E1638" s="161">
        <v>40</v>
      </c>
      <c r="F1638" s="161">
        <v>113</v>
      </c>
      <c r="G1638" s="161" t="s">
        <v>1702</v>
      </c>
      <c r="H1638" s="161" t="s">
        <v>138</v>
      </c>
      <c r="I1638" s="161">
        <v>65</v>
      </c>
      <c r="J1638" s="161" t="s">
        <v>389</v>
      </c>
      <c r="K1638" s="21" t="s">
        <v>106</v>
      </c>
      <c r="L1638" s="161" t="s">
        <v>3380</v>
      </c>
      <c r="M1638" s="21" t="s">
        <v>568</v>
      </c>
      <c r="N1638" s="161" t="s">
        <v>67</v>
      </c>
      <c r="O1638" s="21" t="s">
        <v>1630</v>
      </c>
      <c r="P1638" s="161" t="s">
        <v>109</v>
      </c>
      <c r="Q1638" s="21" t="s">
        <v>70</v>
      </c>
      <c r="R1638" s="161">
        <v>80</v>
      </c>
      <c r="S1638" s="161" t="s">
        <v>1700</v>
      </c>
      <c r="T1638" s="161" t="s">
        <v>1692</v>
      </c>
      <c r="U1638" s="161" t="s">
        <v>73</v>
      </c>
      <c r="V1638" s="21" t="s">
        <v>1693</v>
      </c>
      <c r="W1638" s="21" t="s">
        <v>1694</v>
      </c>
      <c r="X1638" s="161" t="s">
        <v>1695</v>
      </c>
      <c r="Y1638" s="161">
        <v>1.8162375000000001E-2</v>
      </c>
      <c r="Z1638" s="161">
        <v>2.1150000000000002</v>
      </c>
      <c r="AA1638" s="161" t="s">
        <v>77</v>
      </c>
      <c r="AB1638" s="161" t="s">
        <v>114</v>
      </c>
      <c r="AC1638" s="228" t="e">
        <f>HYPERLINK(#REF!,"ССЫЛКА")</f>
        <v>#REF!</v>
      </c>
      <c r="AD1638" s="170" t="s">
        <v>2859</v>
      </c>
    </row>
    <row r="1639" spans="1:30" s="161" customFormat="1" ht="39.950000000000003" hidden="1" customHeight="1" outlineLevel="1" x14ac:dyDescent="0.25">
      <c r="A1639" s="171"/>
      <c r="B1639" s="21" t="s">
        <v>1573</v>
      </c>
      <c r="C1639" s="159" t="s">
        <v>2954</v>
      </c>
      <c r="D1639" s="161">
        <v>9000</v>
      </c>
      <c r="E1639" s="161">
        <v>60</v>
      </c>
      <c r="F1639" s="161">
        <f>D1639/E1639</f>
        <v>150</v>
      </c>
      <c r="G1639" s="161" t="s">
        <v>2995</v>
      </c>
      <c r="H1639" s="161" t="s">
        <v>2899</v>
      </c>
      <c r="I1639" s="161">
        <v>67</v>
      </c>
      <c r="J1639" s="161" t="s">
        <v>105</v>
      </c>
      <c r="K1639" s="21" t="s">
        <v>106</v>
      </c>
      <c r="L1639" s="161" t="s">
        <v>3380</v>
      </c>
      <c r="M1639" s="21" t="s">
        <v>66</v>
      </c>
      <c r="N1639" s="161" t="s">
        <v>108</v>
      </c>
      <c r="O1639" s="21" t="s">
        <v>2900</v>
      </c>
      <c r="P1639" s="161" t="s">
        <v>109</v>
      </c>
      <c r="Q1639" s="21" t="s">
        <v>2288</v>
      </c>
      <c r="R1639" s="161">
        <v>70</v>
      </c>
      <c r="S1639" s="161" t="s">
        <v>2952</v>
      </c>
      <c r="T1639" s="161" t="s">
        <v>1576</v>
      </c>
      <c r="U1639" s="161" t="s">
        <v>73</v>
      </c>
      <c r="V1639" s="21" t="s">
        <v>74</v>
      </c>
      <c r="W1639" s="21" t="s">
        <v>257</v>
      </c>
      <c r="X1639" s="161" t="s">
        <v>3047</v>
      </c>
      <c r="Y1639" s="161">
        <v>0.2</v>
      </c>
      <c r="AA1639" s="161" t="s">
        <v>2953</v>
      </c>
      <c r="AB1639" s="161" t="s">
        <v>114</v>
      </c>
      <c r="AC1639" s="228" t="e">
        <f>HYPERLINK(#REF!,"ССЫЛКА")</f>
        <v>#REF!</v>
      </c>
      <c r="AD1639" s="170" t="s">
        <v>2859</v>
      </c>
    </row>
    <row r="1640" spans="1:30" s="161" customFormat="1" ht="39.950000000000003" hidden="1" customHeight="1" outlineLevel="1" x14ac:dyDescent="0.25">
      <c r="A1640" s="171"/>
      <c r="B1640" s="21" t="s">
        <v>1573</v>
      </c>
      <c r="C1640" s="159" t="s">
        <v>2955</v>
      </c>
      <c r="D1640" s="161">
        <v>9000</v>
      </c>
      <c r="E1640" s="161">
        <v>60</v>
      </c>
      <c r="F1640" s="161">
        <f t="shared" ref="F1640:F1643" si="0">D1640/E1640</f>
        <v>150</v>
      </c>
      <c r="G1640" s="161" t="s">
        <v>2996</v>
      </c>
      <c r="H1640" s="161" t="s">
        <v>1577</v>
      </c>
      <c r="I1640" s="161">
        <v>67</v>
      </c>
      <c r="J1640" s="161" t="s">
        <v>105</v>
      </c>
      <c r="K1640" s="21" t="s">
        <v>106</v>
      </c>
      <c r="L1640" s="161" t="s">
        <v>3380</v>
      </c>
      <c r="M1640" s="21" t="s">
        <v>66</v>
      </c>
      <c r="N1640" s="161" t="s">
        <v>108</v>
      </c>
      <c r="O1640" s="21" t="s">
        <v>2900</v>
      </c>
      <c r="P1640" s="161" t="s">
        <v>109</v>
      </c>
      <c r="Q1640" s="21" t="s">
        <v>2288</v>
      </c>
      <c r="R1640" s="161">
        <v>70</v>
      </c>
      <c r="S1640" s="161" t="s">
        <v>2952</v>
      </c>
      <c r="T1640" s="161" t="s">
        <v>1576</v>
      </c>
      <c r="U1640" s="161" t="s">
        <v>73</v>
      </c>
      <c r="V1640" s="21" t="s">
        <v>74</v>
      </c>
      <c r="W1640" s="21" t="s">
        <v>257</v>
      </c>
      <c r="X1640" s="161" t="s">
        <v>3047</v>
      </c>
      <c r="Y1640" s="161">
        <v>0.2</v>
      </c>
      <c r="AA1640" s="161" t="s">
        <v>2953</v>
      </c>
      <c r="AB1640" s="161" t="s">
        <v>114</v>
      </c>
      <c r="AC1640" s="228" t="e">
        <f>HYPERLINK(#REF!,"ССЫЛКА")</f>
        <v>#REF!</v>
      </c>
      <c r="AD1640" s="170" t="s">
        <v>2859</v>
      </c>
    </row>
    <row r="1641" spans="1:30" s="161" customFormat="1" ht="39.950000000000003" hidden="1" customHeight="1" outlineLevel="1" x14ac:dyDescent="0.25">
      <c r="A1641" s="171"/>
      <c r="B1641" s="21" t="s">
        <v>1573</v>
      </c>
      <c r="C1641" s="159" t="s">
        <v>2956</v>
      </c>
      <c r="D1641" s="161">
        <v>9000</v>
      </c>
      <c r="E1641" s="161">
        <v>60</v>
      </c>
      <c r="F1641" s="161">
        <f t="shared" si="0"/>
        <v>150</v>
      </c>
      <c r="G1641" s="161" t="s">
        <v>2997</v>
      </c>
      <c r="H1641" s="161" t="s">
        <v>84</v>
      </c>
      <c r="I1641" s="161">
        <v>67</v>
      </c>
      <c r="J1641" s="161" t="s">
        <v>105</v>
      </c>
      <c r="K1641" s="21" t="s">
        <v>106</v>
      </c>
      <c r="L1641" s="161" t="s">
        <v>3380</v>
      </c>
      <c r="M1641" s="21" t="s">
        <v>66</v>
      </c>
      <c r="N1641" s="161" t="s">
        <v>108</v>
      </c>
      <c r="O1641" s="21" t="s">
        <v>2900</v>
      </c>
      <c r="P1641" s="161" t="s">
        <v>109</v>
      </c>
      <c r="Q1641" s="21" t="s">
        <v>2288</v>
      </c>
      <c r="R1641" s="161">
        <v>70</v>
      </c>
      <c r="S1641" s="161" t="s">
        <v>2952</v>
      </c>
      <c r="T1641" s="161" t="s">
        <v>1576</v>
      </c>
      <c r="U1641" s="161" t="s">
        <v>73</v>
      </c>
      <c r="V1641" s="21" t="s">
        <v>74</v>
      </c>
      <c r="W1641" s="21" t="s">
        <v>257</v>
      </c>
      <c r="X1641" s="161" t="s">
        <v>3047</v>
      </c>
      <c r="Y1641" s="161">
        <v>0.2</v>
      </c>
      <c r="AA1641" s="161" t="s">
        <v>2953</v>
      </c>
      <c r="AB1641" s="161" t="s">
        <v>114</v>
      </c>
      <c r="AC1641" s="228" t="e">
        <f>HYPERLINK(#REF!,"ССЫЛКА")</f>
        <v>#REF!</v>
      </c>
      <c r="AD1641" s="170" t="s">
        <v>2859</v>
      </c>
    </row>
    <row r="1642" spans="1:30" s="161" customFormat="1" ht="39.950000000000003" hidden="1" customHeight="1" outlineLevel="1" x14ac:dyDescent="0.25">
      <c r="A1642" s="171"/>
      <c r="B1642" s="21" t="s">
        <v>1573</v>
      </c>
      <c r="C1642" s="159" t="s">
        <v>2957</v>
      </c>
      <c r="D1642" s="161">
        <v>9000</v>
      </c>
      <c r="E1642" s="161">
        <v>60</v>
      </c>
      <c r="F1642" s="161">
        <f t="shared" si="0"/>
        <v>150</v>
      </c>
      <c r="G1642" s="161" t="s">
        <v>2998</v>
      </c>
      <c r="H1642" s="161" t="s">
        <v>1617</v>
      </c>
      <c r="I1642" s="161">
        <v>67</v>
      </c>
      <c r="J1642" s="161" t="s">
        <v>105</v>
      </c>
      <c r="K1642" s="21" t="s">
        <v>106</v>
      </c>
      <c r="L1642" s="161" t="s">
        <v>3380</v>
      </c>
      <c r="M1642" s="21" t="s">
        <v>66</v>
      </c>
      <c r="N1642" s="161" t="s">
        <v>108</v>
      </c>
      <c r="O1642" s="21" t="s">
        <v>2900</v>
      </c>
      <c r="P1642" s="161" t="s">
        <v>109</v>
      </c>
      <c r="Q1642" s="21" t="s">
        <v>2288</v>
      </c>
      <c r="R1642" s="161">
        <v>70</v>
      </c>
      <c r="S1642" s="161" t="s">
        <v>2952</v>
      </c>
      <c r="T1642" s="161" t="s">
        <v>1576</v>
      </c>
      <c r="U1642" s="161" t="s">
        <v>73</v>
      </c>
      <c r="V1642" s="21" t="s">
        <v>74</v>
      </c>
      <c r="W1642" s="21" t="s">
        <v>257</v>
      </c>
      <c r="X1642" s="161" t="s">
        <v>3047</v>
      </c>
      <c r="Y1642" s="161">
        <v>0.2</v>
      </c>
      <c r="AA1642" s="161" t="s">
        <v>2953</v>
      </c>
      <c r="AB1642" s="161" t="s">
        <v>114</v>
      </c>
      <c r="AC1642" s="228" t="e">
        <f>HYPERLINK(#REF!,"ССЫЛКА")</f>
        <v>#REF!</v>
      </c>
      <c r="AD1642" s="170" t="s">
        <v>2859</v>
      </c>
    </row>
    <row r="1643" spans="1:30" s="161" customFormat="1" ht="39.950000000000003" hidden="1" customHeight="1" outlineLevel="1" x14ac:dyDescent="0.25">
      <c r="A1643" s="171"/>
      <c r="B1643" s="21" t="s">
        <v>1573</v>
      </c>
      <c r="C1643" s="159" t="s">
        <v>2958</v>
      </c>
      <c r="D1643" s="161">
        <v>9000</v>
      </c>
      <c r="E1643" s="161">
        <v>60</v>
      </c>
      <c r="F1643" s="161">
        <f t="shared" si="0"/>
        <v>150</v>
      </c>
      <c r="G1643" s="161" t="s">
        <v>2999</v>
      </c>
      <c r="H1643" s="161" t="s">
        <v>1578</v>
      </c>
      <c r="I1643" s="161">
        <v>67</v>
      </c>
      <c r="J1643" s="161" t="s">
        <v>105</v>
      </c>
      <c r="K1643" s="21" t="s">
        <v>106</v>
      </c>
      <c r="L1643" s="161" t="s">
        <v>3380</v>
      </c>
      <c r="M1643" s="21" t="s">
        <v>66</v>
      </c>
      <c r="N1643" s="161" t="s">
        <v>108</v>
      </c>
      <c r="O1643" s="21" t="s">
        <v>2900</v>
      </c>
      <c r="P1643" s="161" t="s">
        <v>109</v>
      </c>
      <c r="Q1643" s="21" t="s">
        <v>2288</v>
      </c>
      <c r="R1643" s="161">
        <v>70</v>
      </c>
      <c r="S1643" s="161" t="s">
        <v>2952</v>
      </c>
      <c r="T1643" s="161" t="s">
        <v>1576</v>
      </c>
      <c r="U1643" s="161" t="s">
        <v>73</v>
      </c>
      <c r="V1643" s="21" t="s">
        <v>74</v>
      </c>
      <c r="W1643" s="21" t="s">
        <v>257</v>
      </c>
      <c r="X1643" s="161" t="s">
        <v>3047</v>
      </c>
      <c r="Y1643" s="161">
        <v>0.2</v>
      </c>
      <c r="AA1643" s="161" t="s">
        <v>2953</v>
      </c>
      <c r="AB1643" s="161" t="s">
        <v>114</v>
      </c>
      <c r="AC1643" s="228" t="e">
        <f>HYPERLINK(#REF!,"ССЫЛКА")</f>
        <v>#REF!</v>
      </c>
      <c r="AD1643" s="170" t="s">
        <v>2859</v>
      </c>
    </row>
    <row r="1644" spans="1:30" s="161" customFormat="1" ht="39.950000000000003" hidden="1" customHeight="1" outlineLevel="1" x14ac:dyDescent="0.25">
      <c r="A1644" s="171"/>
      <c r="B1644" s="21" t="s">
        <v>1573</v>
      </c>
      <c r="C1644" s="159" t="s">
        <v>3021</v>
      </c>
      <c r="D1644" s="161">
        <v>9000</v>
      </c>
      <c r="E1644" s="161">
        <v>60</v>
      </c>
      <c r="F1644" s="161">
        <f>D1644/E1644</f>
        <v>150</v>
      </c>
      <c r="G1644" s="161" t="s">
        <v>3233</v>
      </c>
      <c r="H1644" s="161" t="s">
        <v>1578</v>
      </c>
      <c r="I1644" s="161">
        <v>67</v>
      </c>
      <c r="J1644" s="161" t="s">
        <v>105</v>
      </c>
      <c r="K1644" s="21" t="s">
        <v>106</v>
      </c>
      <c r="L1644" s="161" t="s">
        <v>3380</v>
      </c>
      <c r="M1644" s="21" t="s">
        <v>66</v>
      </c>
      <c r="N1644" s="161" t="s">
        <v>108</v>
      </c>
      <c r="O1644" s="21" t="s">
        <v>2900</v>
      </c>
      <c r="P1644" s="161" t="s">
        <v>109</v>
      </c>
      <c r="Q1644" s="21" t="s">
        <v>2288</v>
      </c>
      <c r="R1644" s="161">
        <v>70</v>
      </c>
      <c r="S1644" s="161" t="s">
        <v>2952</v>
      </c>
      <c r="T1644" s="161" t="s">
        <v>1576</v>
      </c>
      <c r="U1644" s="161" t="s">
        <v>73</v>
      </c>
      <c r="V1644" s="21" t="s">
        <v>74</v>
      </c>
      <c r="W1644" s="21" t="s">
        <v>160</v>
      </c>
      <c r="X1644" s="161" t="s">
        <v>3026</v>
      </c>
      <c r="Y1644" s="161">
        <v>0.2</v>
      </c>
      <c r="AA1644" s="161" t="s">
        <v>2953</v>
      </c>
      <c r="AB1644" s="161" t="s">
        <v>114</v>
      </c>
      <c r="AC1644" s="228" t="e">
        <f>HYPERLINK(#REF!,"ССЫЛКА")</f>
        <v>#REF!</v>
      </c>
      <c r="AD1644" s="170" t="s">
        <v>2859</v>
      </c>
    </row>
    <row r="1645" spans="1:30" s="161" customFormat="1" ht="39.950000000000003" hidden="1" customHeight="1" outlineLevel="1" x14ac:dyDescent="0.25">
      <c r="A1645" s="171"/>
      <c r="B1645" s="21" t="s">
        <v>1573</v>
      </c>
      <c r="C1645" s="159" t="s">
        <v>2959</v>
      </c>
      <c r="D1645" s="161">
        <v>9000</v>
      </c>
      <c r="E1645" s="161">
        <v>60</v>
      </c>
      <c r="F1645" s="161">
        <f t="shared" ref="F1645:F1648" si="1">D1645/E1645</f>
        <v>150</v>
      </c>
      <c r="G1645" s="161" t="s">
        <v>3000</v>
      </c>
      <c r="H1645" s="161" t="s">
        <v>138</v>
      </c>
      <c r="I1645" s="161">
        <v>67</v>
      </c>
      <c r="J1645" s="161" t="s">
        <v>105</v>
      </c>
      <c r="K1645" s="21" t="s">
        <v>106</v>
      </c>
      <c r="L1645" s="161" t="s">
        <v>3380</v>
      </c>
      <c r="M1645" s="21" t="s">
        <v>66</v>
      </c>
      <c r="N1645" s="161" t="s">
        <v>108</v>
      </c>
      <c r="O1645" s="21" t="s">
        <v>2900</v>
      </c>
      <c r="P1645" s="161" t="s">
        <v>109</v>
      </c>
      <c r="Q1645" s="21" t="s">
        <v>2288</v>
      </c>
      <c r="R1645" s="161">
        <v>70</v>
      </c>
      <c r="S1645" s="161" t="s">
        <v>2952</v>
      </c>
      <c r="T1645" s="161" t="s">
        <v>1576</v>
      </c>
      <c r="U1645" s="161" t="s">
        <v>73</v>
      </c>
      <c r="V1645" s="21" t="s">
        <v>74</v>
      </c>
      <c r="W1645" s="21" t="s">
        <v>257</v>
      </c>
      <c r="X1645" s="161" t="s">
        <v>3047</v>
      </c>
      <c r="Y1645" s="161">
        <v>0.2</v>
      </c>
      <c r="AA1645" s="161" t="s">
        <v>2953</v>
      </c>
      <c r="AB1645" s="161" t="s">
        <v>114</v>
      </c>
      <c r="AC1645" s="228" t="e">
        <f>HYPERLINK(#REF!,"ССЫЛКА")</f>
        <v>#REF!</v>
      </c>
      <c r="AD1645" s="170" t="s">
        <v>2859</v>
      </c>
    </row>
    <row r="1646" spans="1:30" s="161" customFormat="1" ht="39.950000000000003" hidden="1" customHeight="1" outlineLevel="1" x14ac:dyDescent="0.25">
      <c r="A1646" s="171"/>
      <c r="B1646" s="21" t="s">
        <v>1573</v>
      </c>
      <c r="C1646" s="159" t="s">
        <v>2960</v>
      </c>
      <c r="D1646" s="161">
        <v>18000</v>
      </c>
      <c r="E1646" s="161">
        <v>120</v>
      </c>
      <c r="F1646" s="161">
        <f t="shared" si="1"/>
        <v>150</v>
      </c>
      <c r="G1646" s="161" t="s">
        <v>3001</v>
      </c>
      <c r="H1646" s="161" t="s">
        <v>2899</v>
      </c>
      <c r="I1646" s="161">
        <v>67</v>
      </c>
      <c r="J1646" s="161" t="s">
        <v>105</v>
      </c>
      <c r="K1646" s="21" t="s">
        <v>106</v>
      </c>
      <c r="L1646" s="161" t="s">
        <v>3380</v>
      </c>
      <c r="M1646" s="21" t="s">
        <v>66</v>
      </c>
      <c r="N1646" s="161" t="s">
        <v>108</v>
      </c>
      <c r="O1646" s="21" t="s">
        <v>2900</v>
      </c>
      <c r="P1646" s="161" t="s">
        <v>109</v>
      </c>
      <c r="Q1646" s="21" t="s">
        <v>2288</v>
      </c>
      <c r="R1646" s="161">
        <v>70</v>
      </c>
      <c r="S1646" s="161" t="s">
        <v>2952</v>
      </c>
      <c r="T1646" s="161" t="s">
        <v>1576</v>
      </c>
      <c r="U1646" s="161" t="s">
        <v>73</v>
      </c>
      <c r="V1646" s="21" t="s">
        <v>74</v>
      </c>
      <c r="W1646" s="21" t="s">
        <v>257</v>
      </c>
      <c r="X1646" s="161" t="s">
        <v>3048</v>
      </c>
      <c r="Y1646" s="161">
        <v>0.2</v>
      </c>
      <c r="AA1646" s="161" t="s">
        <v>2953</v>
      </c>
      <c r="AB1646" s="161" t="s">
        <v>114</v>
      </c>
      <c r="AC1646" s="228" t="e">
        <f>HYPERLINK(#REF!,"ССЫЛКА")</f>
        <v>#REF!</v>
      </c>
      <c r="AD1646" s="170" t="s">
        <v>2859</v>
      </c>
    </row>
    <row r="1647" spans="1:30" s="161" customFormat="1" ht="39.950000000000003" hidden="1" customHeight="1" outlineLevel="1" x14ac:dyDescent="0.25">
      <c r="A1647" s="171"/>
      <c r="B1647" s="21" t="s">
        <v>1573</v>
      </c>
      <c r="C1647" s="159" t="s">
        <v>2961</v>
      </c>
      <c r="D1647" s="161">
        <v>18000</v>
      </c>
      <c r="E1647" s="161">
        <v>120</v>
      </c>
      <c r="F1647" s="161">
        <f t="shared" si="1"/>
        <v>150</v>
      </c>
      <c r="G1647" s="161" t="s">
        <v>3002</v>
      </c>
      <c r="H1647" s="161" t="s">
        <v>1577</v>
      </c>
      <c r="I1647" s="161">
        <v>67</v>
      </c>
      <c r="J1647" s="161" t="s">
        <v>105</v>
      </c>
      <c r="K1647" s="21" t="s">
        <v>106</v>
      </c>
      <c r="L1647" s="161" t="s">
        <v>3380</v>
      </c>
      <c r="M1647" s="21" t="s">
        <v>66</v>
      </c>
      <c r="N1647" s="161" t="s">
        <v>108</v>
      </c>
      <c r="O1647" s="21" t="s">
        <v>2900</v>
      </c>
      <c r="P1647" s="161" t="s">
        <v>109</v>
      </c>
      <c r="Q1647" s="21" t="s">
        <v>2288</v>
      </c>
      <c r="R1647" s="161">
        <v>70</v>
      </c>
      <c r="S1647" s="161" t="s">
        <v>2952</v>
      </c>
      <c r="T1647" s="161" t="s">
        <v>1576</v>
      </c>
      <c r="U1647" s="161" t="s">
        <v>73</v>
      </c>
      <c r="V1647" s="21" t="s">
        <v>74</v>
      </c>
      <c r="W1647" s="21" t="s">
        <v>257</v>
      </c>
      <c r="X1647" s="161" t="s">
        <v>3048</v>
      </c>
      <c r="Y1647" s="161">
        <v>0.2</v>
      </c>
      <c r="AA1647" s="161" t="s">
        <v>2953</v>
      </c>
      <c r="AB1647" s="161" t="s">
        <v>114</v>
      </c>
      <c r="AC1647" s="228" t="e">
        <f>HYPERLINK(#REF!,"ССЫЛКА")</f>
        <v>#REF!</v>
      </c>
      <c r="AD1647" s="170" t="s">
        <v>2859</v>
      </c>
    </row>
    <row r="1648" spans="1:30" s="161" customFormat="1" ht="39.950000000000003" hidden="1" customHeight="1" outlineLevel="1" x14ac:dyDescent="0.25">
      <c r="A1648" s="171"/>
      <c r="B1648" s="21" t="s">
        <v>1573</v>
      </c>
      <c r="C1648" s="159" t="s">
        <v>2962</v>
      </c>
      <c r="D1648" s="161">
        <v>18000</v>
      </c>
      <c r="E1648" s="161">
        <v>120</v>
      </c>
      <c r="F1648" s="161">
        <f t="shared" si="1"/>
        <v>150</v>
      </c>
      <c r="G1648" s="161" t="s">
        <v>3003</v>
      </c>
      <c r="H1648" s="161" t="s">
        <v>84</v>
      </c>
      <c r="I1648" s="161">
        <v>67</v>
      </c>
      <c r="J1648" s="161" t="s">
        <v>105</v>
      </c>
      <c r="K1648" s="21" t="s">
        <v>106</v>
      </c>
      <c r="L1648" s="161" t="s">
        <v>3380</v>
      </c>
      <c r="M1648" s="21" t="s">
        <v>66</v>
      </c>
      <c r="N1648" s="161" t="s">
        <v>108</v>
      </c>
      <c r="O1648" s="21" t="s">
        <v>2900</v>
      </c>
      <c r="P1648" s="161" t="s">
        <v>109</v>
      </c>
      <c r="Q1648" s="21" t="s">
        <v>2288</v>
      </c>
      <c r="R1648" s="161">
        <v>70</v>
      </c>
      <c r="S1648" s="161" t="s">
        <v>2952</v>
      </c>
      <c r="T1648" s="161" t="s">
        <v>1576</v>
      </c>
      <c r="U1648" s="161" t="s">
        <v>73</v>
      </c>
      <c r="V1648" s="21" t="s">
        <v>74</v>
      </c>
      <c r="W1648" s="21" t="s">
        <v>257</v>
      </c>
      <c r="X1648" s="161" t="s">
        <v>3048</v>
      </c>
      <c r="Y1648" s="161">
        <v>0.2</v>
      </c>
      <c r="AA1648" s="161" t="s">
        <v>2953</v>
      </c>
      <c r="AB1648" s="161" t="s">
        <v>114</v>
      </c>
      <c r="AC1648" s="228" t="e">
        <f>HYPERLINK(#REF!,"ССЫЛКА")</f>
        <v>#REF!</v>
      </c>
      <c r="AD1648" s="170" t="s">
        <v>2859</v>
      </c>
    </row>
    <row r="1649" spans="1:30" s="161" customFormat="1" ht="39.950000000000003" hidden="1" customHeight="1" outlineLevel="1" x14ac:dyDescent="0.25">
      <c r="A1649" s="171"/>
      <c r="B1649" s="21" t="s">
        <v>1573</v>
      </c>
      <c r="C1649" s="159" t="s">
        <v>2963</v>
      </c>
      <c r="D1649" s="161">
        <v>18000</v>
      </c>
      <c r="E1649" s="161">
        <v>120</v>
      </c>
      <c r="F1649" s="161">
        <f>D1649/E1649</f>
        <v>150</v>
      </c>
      <c r="G1649" s="161" t="s">
        <v>3004</v>
      </c>
      <c r="H1649" s="161" t="s">
        <v>1617</v>
      </c>
      <c r="I1649" s="161">
        <v>67</v>
      </c>
      <c r="J1649" s="161" t="s">
        <v>105</v>
      </c>
      <c r="K1649" s="21" t="s">
        <v>106</v>
      </c>
      <c r="L1649" s="161" t="s">
        <v>3380</v>
      </c>
      <c r="M1649" s="21" t="s">
        <v>66</v>
      </c>
      <c r="N1649" s="161" t="s">
        <v>108</v>
      </c>
      <c r="O1649" s="21" t="s">
        <v>2900</v>
      </c>
      <c r="P1649" s="161" t="s">
        <v>109</v>
      </c>
      <c r="Q1649" s="21" t="s">
        <v>2288</v>
      </c>
      <c r="R1649" s="161">
        <v>70</v>
      </c>
      <c r="S1649" s="161" t="s">
        <v>2952</v>
      </c>
      <c r="T1649" s="161" t="s">
        <v>1576</v>
      </c>
      <c r="U1649" s="161" t="s">
        <v>73</v>
      </c>
      <c r="V1649" s="21" t="s">
        <v>74</v>
      </c>
      <c r="W1649" s="21" t="s">
        <v>257</v>
      </c>
      <c r="X1649" s="161" t="s">
        <v>3048</v>
      </c>
      <c r="Y1649" s="161">
        <v>0.2</v>
      </c>
      <c r="AA1649" s="161" t="s">
        <v>2953</v>
      </c>
      <c r="AB1649" s="161" t="s">
        <v>114</v>
      </c>
      <c r="AC1649" s="228" t="e">
        <f>HYPERLINK(#REF!,"ССЫЛКА")</f>
        <v>#REF!</v>
      </c>
      <c r="AD1649" s="170" t="s">
        <v>2859</v>
      </c>
    </row>
    <row r="1650" spans="1:30" s="161" customFormat="1" ht="39.950000000000003" hidden="1" customHeight="1" outlineLevel="1" x14ac:dyDescent="0.25">
      <c r="A1650" s="171"/>
      <c r="B1650" s="21" t="s">
        <v>1573</v>
      </c>
      <c r="C1650" s="159" t="s">
        <v>2964</v>
      </c>
      <c r="D1650" s="161">
        <v>18000</v>
      </c>
      <c r="E1650" s="161">
        <v>120</v>
      </c>
      <c r="F1650" s="161">
        <f>D1650/E1650</f>
        <v>150</v>
      </c>
      <c r="G1650" s="161" t="s">
        <v>3005</v>
      </c>
      <c r="H1650" s="161" t="s">
        <v>1578</v>
      </c>
      <c r="I1650" s="161">
        <v>67</v>
      </c>
      <c r="J1650" s="161" t="s">
        <v>105</v>
      </c>
      <c r="K1650" s="21" t="s">
        <v>106</v>
      </c>
      <c r="L1650" s="161" t="s">
        <v>3380</v>
      </c>
      <c r="M1650" s="21" t="s">
        <v>66</v>
      </c>
      <c r="N1650" s="161" t="s">
        <v>108</v>
      </c>
      <c r="O1650" s="21" t="s">
        <v>2900</v>
      </c>
      <c r="P1650" s="161" t="s">
        <v>109</v>
      </c>
      <c r="Q1650" s="21" t="s">
        <v>2288</v>
      </c>
      <c r="R1650" s="161">
        <v>70</v>
      </c>
      <c r="S1650" s="161" t="s">
        <v>2952</v>
      </c>
      <c r="T1650" s="161" t="s">
        <v>1576</v>
      </c>
      <c r="U1650" s="161" t="s">
        <v>73</v>
      </c>
      <c r="V1650" s="21" t="s">
        <v>74</v>
      </c>
      <c r="W1650" s="21" t="s">
        <v>257</v>
      </c>
      <c r="X1650" s="161" t="s">
        <v>3048</v>
      </c>
      <c r="Y1650" s="161">
        <v>0.2</v>
      </c>
      <c r="AA1650" s="161" t="s">
        <v>2953</v>
      </c>
      <c r="AB1650" s="161" t="s">
        <v>114</v>
      </c>
      <c r="AC1650" s="228" t="e">
        <f>HYPERLINK(#REF!,"ССЫЛКА")</f>
        <v>#REF!</v>
      </c>
      <c r="AD1650" s="170" t="s">
        <v>2859</v>
      </c>
    </row>
    <row r="1651" spans="1:30" s="161" customFormat="1" ht="39.950000000000003" hidden="1" customHeight="1" outlineLevel="1" x14ac:dyDescent="0.25">
      <c r="A1651" s="171"/>
      <c r="B1651" s="21" t="s">
        <v>1573</v>
      </c>
      <c r="C1651" s="159" t="s">
        <v>3022</v>
      </c>
      <c r="D1651" s="161">
        <v>18000</v>
      </c>
      <c r="E1651" s="161">
        <v>120</v>
      </c>
      <c r="F1651" s="161">
        <f t="shared" ref="F1651:F1655" si="2">D1651/E1651</f>
        <v>150</v>
      </c>
      <c r="G1651" s="161" t="s">
        <v>3234</v>
      </c>
      <c r="H1651" s="161" t="s">
        <v>1578</v>
      </c>
      <c r="I1651" s="161">
        <v>67</v>
      </c>
      <c r="J1651" s="161" t="s">
        <v>105</v>
      </c>
      <c r="K1651" s="21" t="s">
        <v>106</v>
      </c>
      <c r="L1651" s="161" t="s">
        <v>3380</v>
      </c>
      <c r="M1651" s="21" t="s">
        <v>66</v>
      </c>
      <c r="N1651" s="161" t="s">
        <v>108</v>
      </c>
      <c r="O1651" s="21" t="s">
        <v>2900</v>
      </c>
      <c r="P1651" s="161" t="s">
        <v>109</v>
      </c>
      <c r="Q1651" s="21" t="s">
        <v>2288</v>
      </c>
      <c r="R1651" s="161">
        <v>70</v>
      </c>
      <c r="S1651" s="161" t="s">
        <v>2952</v>
      </c>
      <c r="T1651" s="161" t="s">
        <v>1576</v>
      </c>
      <c r="U1651" s="161" t="s">
        <v>73</v>
      </c>
      <c r="V1651" s="21" t="s">
        <v>74</v>
      </c>
      <c r="W1651" s="21" t="s">
        <v>160</v>
      </c>
      <c r="X1651" s="161" t="s">
        <v>3027</v>
      </c>
      <c r="Y1651" s="161">
        <v>0.2</v>
      </c>
      <c r="AA1651" s="161" t="s">
        <v>2953</v>
      </c>
      <c r="AB1651" s="161" t="s">
        <v>114</v>
      </c>
      <c r="AC1651" s="228" t="e">
        <f>HYPERLINK(#REF!,"ССЫЛКА")</f>
        <v>#REF!</v>
      </c>
      <c r="AD1651" s="170" t="s">
        <v>2859</v>
      </c>
    </row>
    <row r="1652" spans="1:30" s="161" customFormat="1" ht="39.950000000000003" hidden="1" customHeight="1" outlineLevel="1" x14ac:dyDescent="0.25">
      <c r="A1652" s="171"/>
      <c r="B1652" s="21" t="s">
        <v>1573</v>
      </c>
      <c r="C1652" s="159" t="s">
        <v>2965</v>
      </c>
      <c r="D1652" s="161">
        <v>18000</v>
      </c>
      <c r="E1652" s="161">
        <v>120</v>
      </c>
      <c r="F1652" s="161">
        <f t="shared" si="2"/>
        <v>150</v>
      </c>
      <c r="G1652" s="161" t="s">
        <v>3006</v>
      </c>
      <c r="H1652" s="161" t="s">
        <v>138</v>
      </c>
      <c r="I1652" s="161">
        <v>67</v>
      </c>
      <c r="J1652" s="161" t="s">
        <v>105</v>
      </c>
      <c r="K1652" s="21" t="s">
        <v>106</v>
      </c>
      <c r="L1652" s="161" t="s">
        <v>3380</v>
      </c>
      <c r="M1652" s="21" t="s">
        <v>66</v>
      </c>
      <c r="N1652" s="161" t="s">
        <v>108</v>
      </c>
      <c r="O1652" s="21" t="s">
        <v>2900</v>
      </c>
      <c r="P1652" s="161" t="s">
        <v>109</v>
      </c>
      <c r="Q1652" s="21" t="s">
        <v>2288</v>
      </c>
      <c r="R1652" s="161">
        <v>70</v>
      </c>
      <c r="S1652" s="161" t="s">
        <v>2952</v>
      </c>
      <c r="T1652" s="161" t="s">
        <v>1576</v>
      </c>
      <c r="U1652" s="161" t="s">
        <v>73</v>
      </c>
      <c r="V1652" s="21" t="s">
        <v>74</v>
      </c>
      <c r="W1652" s="21" t="s">
        <v>257</v>
      </c>
      <c r="X1652" s="161" t="s">
        <v>3048</v>
      </c>
      <c r="Y1652" s="161">
        <v>0.2</v>
      </c>
      <c r="AA1652" s="161" t="s">
        <v>2953</v>
      </c>
      <c r="AB1652" s="161" t="s">
        <v>114</v>
      </c>
      <c r="AC1652" s="228" t="e">
        <f>HYPERLINK(#REF!,"ССЫЛКА")</f>
        <v>#REF!</v>
      </c>
      <c r="AD1652" s="170" t="s">
        <v>2859</v>
      </c>
    </row>
    <row r="1653" spans="1:30" s="161" customFormat="1" ht="39.950000000000003" hidden="1" customHeight="1" outlineLevel="1" x14ac:dyDescent="0.25">
      <c r="A1653" s="171"/>
      <c r="B1653" s="21" t="s">
        <v>1573</v>
      </c>
      <c r="C1653" s="159" t="s">
        <v>2966</v>
      </c>
      <c r="D1653" s="161">
        <v>27000</v>
      </c>
      <c r="E1653" s="161">
        <v>180</v>
      </c>
      <c r="F1653" s="161">
        <f t="shared" si="2"/>
        <v>150</v>
      </c>
      <c r="G1653" s="161" t="s">
        <v>3007</v>
      </c>
      <c r="H1653" s="161" t="s">
        <v>2899</v>
      </c>
      <c r="I1653" s="161">
        <v>67</v>
      </c>
      <c r="J1653" s="161" t="s">
        <v>105</v>
      </c>
      <c r="K1653" s="21" t="s">
        <v>106</v>
      </c>
      <c r="L1653" s="161" t="s">
        <v>3380</v>
      </c>
      <c r="M1653" s="21" t="s">
        <v>66</v>
      </c>
      <c r="N1653" s="161" t="s">
        <v>108</v>
      </c>
      <c r="O1653" s="21" t="s">
        <v>2900</v>
      </c>
      <c r="P1653" s="161" t="s">
        <v>109</v>
      </c>
      <c r="Q1653" s="21" t="s">
        <v>2288</v>
      </c>
      <c r="R1653" s="161">
        <v>70</v>
      </c>
      <c r="S1653" s="161" t="s">
        <v>2952</v>
      </c>
      <c r="T1653" s="161" t="s">
        <v>1576</v>
      </c>
      <c r="U1653" s="161" t="s">
        <v>73</v>
      </c>
      <c r="V1653" s="21" t="s">
        <v>74</v>
      </c>
      <c r="W1653" s="21" t="s">
        <v>257</v>
      </c>
      <c r="X1653" s="161" t="s">
        <v>3049</v>
      </c>
      <c r="Y1653" s="161">
        <v>0.2</v>
      </c>
      <c r="AA1653" s="161" t="s">
        <v>2953</v>
      </c>
      <c r="AB1653" s="161" t="s">
        <v>114</v>
      </c>
      <c r="AC1653" s="228" t="e">
        <f>HYPERLINK(#REF!,"ССЫЛКА")</f>
        <v>#REF!</v>
      </c>
      <c r="AD1653" s="170" t="s">
        <v>2859</v>
      </c>
    </row>
    <row r="1654" spans="1:30" s="161" customFormat="1" ht="39.950000000000003" hidden="1" customHeight="1" outlineLevel="1" x14ac:dyDescent="0.25">
      <c r="A1654" s="171"/>
      <c r="B1654" s="21" t="s">
        <v>1573</v>
      </c>
      <c r="C1654" s="159" t="s">
        <v>2967</v>
      </c>
      <c r="D1654" s="161">
        <v>27000</v>
      </c>
      <c r="E1654" s="161">
        <v>180</v>
      </c>
      <c r="F1654" s="161">
        <f t="shared" si="2"/>
        <v>150</v>
      </c>
      <c r="G1654" s="161" t="s">
        <v>3008</v>
      </c>
      <c r="H1654" s="161" t="s">
        <v>1577</v>
      </c>
      <c r="I1654" s="161">
        <v>67</v>
      </c>
      <c r="J1654" s="161" t="s">
        <v>105</v>
      </c>
      <c r="K1654" s="21" t="s">
        <v>106</v>
      </c>
      <c r="L1654" s="161" t="s">
        <v>3380</v>
      </c>
      <c r="M1654" s="21" t="s">
        <v>66</v>
      </c>
      <c r="N1654" s="161" t="s">
        <v>108</v>
      </c>
      <c r="O1654" s="21" t="s">
        <v>2900</v>
      </c>
      <c r="P1654" s="161" t="s">
        <v>109</v>
      </c>
      <c r="Q1654" s="21" t="s">
        <v>2288</v>
      </c>
      <c r="R1654" s="161">
        <v>70</v>
      </c>
      <c r="S1654" s="161" t="s">
        <v>2952</v>
      </c>
      <c r="T1654" s="161" t="s">
        <v>1576</v>
      </c>
      <c r="U1654" s="161" t="s">
        <v>73</v>
      </c>
      <c r="V1654" s="21" t="s">
        <v>74</v>
      </c>
      <c r="W1654" s="21" t="s">
        <v>257</v>
      </c>
      <c r="X1654" s="161" t="s">
        <v>3049</v>
      </c>
      <c r="Y1654" s="161">
        <v>0.2</v>
      </c>
      <c r="AA1654" s="161" t="s">
        <v>2953</v>
      </c>
      <c r="AB1654" s="161" t="s">
        <v>114</v>
      </c>
      <c r="AC1654" s="228" t="e">
        <f>HYPERLINK(#REF!,"ССЫЛКА")</f>
        <v>#REF!</v>
      </c>
      <c r="AD1654" s="170" t="s">
        <v>2859</v>
      </c>
    </row>
    <row r="1655" spans="1:30" s="161" customFormat="1" ht="39.950000000000003" hidden="1" customHeight="1" outlineLevel="1" x14ac:dyDescent="0.25">
      <c r="A1655" s="171"/>
      <c r="B1655" s="21" t="s">
        <v>1573</v>
      </c>
      <c r="C1655" s="159" t="s">
        <v>2968</v>
      </c>
      <c r="D1655" s="161">
        <v>27000</v>
      </c>
      <c r="E1655" s="161">
        <v>180</v>
      </c>
      <c r="F1655" s="161">
        <f t="shared" si="2"/>
        <v>150</v>
      </c>
      <c r="G1655" s="161" t="s">
        <v>3009</v>
      </c>
      <c r="H1655" s="161" t="s">
        <v>84</v>
      </c>
      <c r="I1655" s="161">
        <v>67</v>
      </c>
      <c r="J1655" s="161" t="s">
        <v>105</v>
      </c>
      <c r="K1655" s="21" t="s">
        <v>106</v>
      </c>
      <c r="L1655" s="161" t="s">
        <v>3380</v>
      </c>
      <c r="M1655" s="21" t="s">
        <v>66</v>
      </c>
      <c r="N1655" s="161" t="s">
        <v>108</v>
      </c>
      <c r="O1655" s="21" t="s">
        <v>2900</v>
      </c>
      <c r="P1655" s="161" t="s">
        <v>109</v>
      </c>
      <c r="Q1655" s="21" t="s">
        <v>2288</v>
      </c>
      <c r="R1655" s="161">
        <v>70</v>
      </c>
      <c r="S1655" s="161" t="s">
        <v>2952</v>
      </c>
      <c r="T1655" s="161" t="s">
        <v>1576</v>
      </c>
      <c r="U1655" s="161" t="s">
        <v>73</v>
      </c>
      <c r="V1655" s="21" t="s">
        <v>74</v>
      </c>
      <c r="W1655" s="21" t="s">
        <v>257</v>
      </c>
      <c r="X1655" s="161" t="s">
        <v>3049</v>
      </c>
      <c r="Y1655" s="161">
        <v>0.2</v>
      </c>
      <c r="AA1655" s="161" t="s">
        <v>2953</v>
      </c>
      <c r="AB1655" s="161" t="s">
        <v>114</v>
      </c>
      <c r="AC1655" s="228" t="e">
        <f>HYPERLINK(#REF!,"ССЫЛКА")</f>
        <v>#REF!</v>
      </c>
      <c r="AD1655" s="170" t="s">
        <v>2859</v>
      </c>
    </row>
    <row r="1656" spans="1:30" s="161" customFormat="1" ht="39.950000000000003" hidden="1" customHeight="1" outlineLevel="1" x14ac:dyDescent="0.25">
      <c r="A1656" s="171"/>
      <c r="B1656" s="21" t="s">
        <v>1573</v>
      </c>
      <c r="C1656" s="159" t="s">
        <v>2969</v>
      </c>
      <c r="D1656" s="161">
        <v>27000</v>
      </c>
      <c r="E1656" s="161">
        <v>180</v>
      </c>
      <c r="F1656" s="161">
        <f>D1656/E1656</f>
        <v>150</v>
      </c>
      <c r="G1656" s="161" t="s">
        <v>3010</v>
      </c>
      <c r="H1656" s="161" t="s">
        <v>1617</v>
      </c>
      <c r="I1656" s="161">
        <v>67</v>
      </c>
      <c r="J1656" s="161" t="s">
        <v>105</v>
      </c>
      <c r="K1656" s="21" t="s">
        <v>106</v>
      </c>
      <c r="L1656" s="161" t="s">
        <v>3380</v>
      </c>
      <c r="M1656" s="21" t="s">
        <v>66</v>
      </c>
      <c r="N1656" s="161" t="s">
        <v>108</v>
      </c>
      <c r="O1656" s="21" t="s">
        <v>2900</v>
      </c>
      <c r="P1656" s="161" t="s">
        <v>109</v>
      </c>
      <c r="Q1656" s="21" t="s">
        <v>2288</v>
      </c>
      <c r="R1656" s="161">
        <v>70</v>
      </c>
      <c r="S1656" s="161" t="s">
        <v>2952</v>
      </c>
      <c r="T1656" s="161" t="s">
        <v>1576</v>
      </c>
      <c r="U1656" s="161" t="s">
        <v>73</v>
      </c>
      <c r="V1656" s="21" t="s">
        <v>74</v>
      </c>
      <c r="W1656" s="21" t="s">
        <v>257</v>
      </c>
      <c r="X1656" s="161" t="s">
        <v>3049</v>
      </c>
      <c r="Y1656" s="161">
        <v>0.2</v>
      </c>
      <c r="AA1656" s="161" t="s">
        <v>2953</v>
      </c>
      <c r="AB1656" s="161" t="s">
        <v>114</v>
      </c>
      <c r="AC1656" s="228" t="e">
        <f>HYPERLINK(#REF!,"ССЫЛКА")</f>
        <v>#REF!</v>
      </c>
      <c r="AD1656" s="170" t="s">
        <v>2859</v>
      </c>
    </row>
    <row r="1657" spans="1:30" s="161" customFormat="1" ht="39.950000000000003" hidden="1" customHeight="1" outlineLevel="1" x14ac:dyDescent="0.25">
      <c r="A1657" s="171"/>
      <c r="B1657" s="21" t="s">
        <v>1573</v>
      </c>
      <c r="C1657" s="159" t="s">
        <v>2970</v>
      </c>
      <c r="D1657" s="161">
        <v>27000</v>
      </c>
      <c r="E1657" s="161">
        <v>180</v>
      </c>
      <c r="F1657" s="161">
        <f>D1657/E1657</f>
        <v>150</v>
      </c>
      <c r="G1657" s="161" t="s">
        <v>3011</v>
      </c>
      <c r="H1657" s="161" t="s">
        <v>1578</v>
      </c>
      <c r="I1657" s="161">
        <v>67</v>
      </c>
      <c r="J1657" s="161" t="s">
        <v>105</v>
      </c>
      <c r="K1657" s="21" t="s">
        <v>106</v>
      </c>
      <c r="L1657" s="161" t="s">
        <v>3380</v>
      </c>
      <c r="M1657" s="21" t="s">
        <v>66</v>
      </c>
      <c r="N1657" s="161" t="s">
        <v>108</v>
      </c>
      <c r="O1657" s="21" t="s">
        <v>2900</v>
      </c>
      <c r="P1657" s="161" t="s">
        <v>109</v>
      </c>
      <c r="Q1657" s="21" t="s">
        <v>2288</v>
      </c>
      <c r="R1657" s="161">
        <v>70</v>
      </c>
      <c r="S1657" s="161" t="s">
        <v>2952</v>
      </c>
      <c r="T1657" s="161" t="s">
        <v>1576</v>
      </c>
      <c r="U1657" s="161" t="s">
        <v>73</v>
      </c>
      <c r="V1657" s="21" t="s">
        <v>74</v>
      </c>
      <c r="W1657" s="21" t="s">
        <v>257</v>
      </c>
      <c r="X1657" s="161" t="s">
        <v>3049</v>
      </c>
      <c r="Y1657" s="161">
        <v>0.2</v>
      </c>
      <c r="AA1657" s="161" t="s">
        <v>2953</v>
      </c>
      <c r="AB1657" s="161" t="s">
        <v>114</v>
      </c>
      <c r="AC1657" s="228" t="e">
        <f>HYPERLINK(#REF!,"ССЫЛКА")</f>
        <v>#REF!</v>
      </c>
      <c r="AD1657" s="170" t="s">
        <v>2859</v>
      </c>
    </row>
    <row r="1658" spans="1:30" s="161" customFormat="1" ht="39.950000000000003" hidden="1" customHeight="1" outlineLevel="1" x14ac:dyDescent="0.25">
      <c r="A1658" s="171"/>
      <c r="B1658" s="21" t="s">
        <v>1573</v>
      </c>
      <c r="C1658" s="159" t="s">
        <v>3023</v>
      </c>
      <c r="D1658" s="161">
        <v>27000</v>
      </c>
      <c r="E1658" s="161">
        <v>180</v>
      </c>
      <c r="F1658" s="161">
        <f t="shared" ref="F1658:F1662" si="3">D1658/E1658</f>
        <v>150</v>
      </c>
      <c r="G1658" s="161" t="s">
        <v>3235</v>
      </c>
      <c r="H1658" s="161" t="s">
        <v>1578</v>
      </c>
      <c r="I1658" s="161">
        <v>67</v>
      </c>
      <c r="J1658" s="161" t="s">
        <v>105</v>
      </c>
      <c r="K1658" s="21" t="s">
        <v>106</v>
      </c>
      <c r="L1658" s="161" t="s">
        <v>3380</v>
      </c>
      <c r="M1658" s="21" t="s">
        <v>66</v>
      </c>
      <c r="N1658" s="161" t="s">
        <v>108</v>
      </c>
      <c r="O1658" s="21" t="s">
        <v>2900</v>
      </c>
      <c r="P1658" s="161" t="s">
        <v>109</v>
      </c>
      <c r="Q1658" s="21" t="s">
        <v>2288</v>
      </c>
      <c r="R1658" s="161">
        <v>70</v>
      </c>
      <c r="S1658" s="161" t="s">
        <v>2952</v>
      </c>
      <c r="T1658" s="161" t="s">
        <v>1576</v>
      </c>
      <c r="U1658" s="161" t="s">
        <v>73</v>
      </c>
      <c r="V1658" s="21" t="s">
        <v>74</v>
      </c>
      <c r="W1658" s="21" t="s">
        <v>160</v>
      </c>
      <c r="X1658" s="161" t="s">
        <v>3028</v>
      </c>
      <c r="Y1658" s="161">
        <v>0.2</v>
      </c>
      <c r="AA1658" s="161" t="s">
        <v>2953</v>
      </c>
      <c r="AB1658" s="161" t="s">
        <v>114</v>
      </c>
      <c r="AC1658" s="228" t="e">
        <f>HYPERLINK(#REF!,"ССЫЛКА")</f>
        <v>#REF!</v>
      </c>
      <c r="AD1658" s="170" t="s">
        <v>2859</v>
      </c>
    </row>
    <row r="1659" spans="1:30" s="161" customFormat="1" ht="39.950000000000003" hidden="1" customHeight="1" outlineLevel="1" x14ac:dyDescent="0.25">
      <c r="A1659" s="171"/>
      <c r="B1659" s="21" t="s">
        <v>1573</v>
      </c>
      <c r="C1659" s="159" t="s">
        <v>2971</v>
      </c>
      <c r="D1659" s="161">
        <v>27000</v>
      </c>
      <c r="E1659" s="161">
        <v>180</v>
      </c>
      <c r="F1659" s="161">
        <f t="shared" si="3"/>
        <v>150</v>
      </c>
      <c r="G1659" s="161" t="s">
        <v>3012</v>
      </c>
      <c r="H1659" s="161" t="s">
        <v>138</v>
      </c>
      <c r="I1659" s="161">
        <v>67</v>
      </c>
      <c r="J1659" s="161" t="s">
        <v>105</v>
      </c>
      <c r="K1659" s="21" t="s">
        <v>106</v>
      </c>
      <c r="L1659" s="161" t="s">
        <v>3380</v>
      </c>
      <c r="M1659" s="21" t="s">
        <v>66</v>
      </c>
      <c r="N1659" s="161" t="s">
        <v>108</v>
      </c>
      <c r="O1659" s="21" t="s">
        <v>2900</v>
      </c>
      <c r="P1659" s="161" t="s">
        <v>109</v>
      </c>
      <c r="Q1659" s="21" t="s">
        <v>2288</v>
      </c>
      <c r="R1659" s="161">
        <v>70</v>
      </c>
      <c r="S1659" s="161" t="s">
        <v>2952</v>
      </c>
      <c r="T1659" s="161" t="s">
        <v>1576</v>
      </c>
      <c r="U1659" s="161" t="s">
        <v>73</v>
      </c>
      <c r="V1659" s="21" t="s">
        <v>74</v>
      </c>
      <c r="W1659" s="21" t="s">
        <v>257</v>
      </c>
      <c r="X1659" s="161" t="s">
        <v>3049</v>
      </c>
      <c r="Y1659" s="161">
        <v>0.2</v>
      </c>
      <c r="AA1659" s="161" t="s">
        <v>2953</v>
      </c>
      <c r="AB1659" s="161" t="s">
        <v>114</v>
      </c>
      <c r="AC1659" s="228" t="e">
        <f>HYPERLINK(#REF!,"ССЫЛКА")</f>
        <v>#REF!</v>
      </c>
      <c r="AD1659" s="170" t="s">
        <v>2859</v>
      </c>
    </row>
    <row r="1660" spans="1:30" s="161" customFormat="1" ht="39.950000000000003" hidden="1" customHeight="1" outlineLevel="1" x14ac:dyDescent="0.25">
      <c r="A1660" s="171"/>
      <c r="B1660" s="21" t="s">
        <v>1573</v>
      </c>
      <c r="C1660" s="159" t="s">
        <v>2972</v>
      </c>
      <c r="D1660" s="161">
        <v>36000</v>
      </c>
      <c r="E1660" s="161">
        <v>240</v>
      </c>
      <c r="F1660" s="161">
        <f t="shared" si="3"/>
        <v>150</v>
      </c>
      <c r="G1660" s="161" t="s">
        <v>3013</v>
      </c>
      <c r="H1660" s="161" t="s">
        <v>2899</v>
      </c>
      <c r="I1660" s="161">
        <v>67</v>
      </c>
      <c r="J1660" s="161" t="s">
        <v>105</v>
      </c>
      <c r="K1660" s="21" t="s">
        <v>106</v>
      </c>
      <c r="L1660" s="161" t="s">
        <v>3380</v>
      </c>
      <c r="M1660" s="21" t="s">
        <v>66</v>
      </c>
      <c r="N1660" s="161" t="s">
        <v>108</v>
      </c>
      <c r="O1660" s="21" t="s">
        <v>2900</v>
      </c>
      <c r="P1660" s="161" t="s">
        <v>109</v>
      </c>
      <c r="Q1660" s="21" t="s">
        <v>2288</v>
      </c>
      <c r="R1660" s="161">
        <v>70</v>
      </c>
      <c r="S1660" s="161" t="s">
        <v>2952</v>
      </c>
      <c r="T1660" s="161" t="s">
        <v>1576</v>
      </c>
      <c r="U1660" s="161" t="s">
        <v>73</v>
      </c>
      <c r="V1660" s="21" t="s">
        <v>74</v>
      </c>
      <c r="W1660" s="21" t="s">
        <v>257</v>
      </c>
      <c r="X1660" s="161" t="s">
        <v>3050</v>
      </c>
      <c r="Y1660" s="161">
        <v>0.2</v>
      </c>
      <c r="AA1660" s="161" t="s">
        <v>2953</v>
      </c>
      <c r="AB1660" s="161" t="s">
        <v>114</v>
      </c>
      <c r="AC1660" s="228" t="e">
        <f>HYPERLINK(#REF!,"ССЫЛКА")</f>
        <v>#REF!</v>
      </c>
      <c r="AD1660" s="170" t="s">
        <v>2859</v>
      </c>
    </row>
    <row r="1661" spans="1:30" s="161" customFormat="1" ht="39.950000000000003" hidden="1" customHeight="1" outlineLevel="1" x14ac:dyDescent="0.25">
      <c r="A1661" s="171"/>
      <c r="B1661" s="21" t="s">
        <v>1573</v>
      </c>
      <c r="C1661" s="159" t="s">
        <v>2973</v>
      </c>
      <c r="D1661" s="161">
        <v>36000</v>
      </c>
      <c r="E1661" s="161">
        <v>240</v>
      </c>
      <c r="F1661" s="161">
        <f t="shared" si="3"/>
        <v>150</v>
      </c>
      <c r="G1661" s="161" t="s">
        <v>3014</v>
      </c>
      <c r="H1661" s="161" t="s">
        <v>1577</v>
      </c>
      <c r="I1661" s="161">
        <v>67</v>
      </c>
      <c r="J1661" s="161" t="s">
        <v>105</v>
      </c>
      <c r="K1661" s="21" t="s">
        <v>106</v>
      </c>
      <c r="L1661" s="161" t="s">
        <v>3380</v>
      </c>
      <c r="M1661" s="21" t="s">
        <v>66</v>
      </c>
      <c r="N1661" s="161" t="s">
        <v>108</v>
      </c>
      <c r="O1661" s="21" t="s">
        <v>2900</v>
      </c>
      <c r="P1661" s="161" t="s">
        <v>109</v>
      </c>
      <c r="Q1661" s="21" t="s">
        <v>2288</v>
      </c>
      <c r="R1661" s="161">
        <v>70</v>
      </c>
      <c r="S1661" s="161" t="s">
        <v>2952</v>
      </c>
      <c r="T1661" s="161" t="s">
        <v>1576</v>
      </c>
      <c r="U1661" s="161" t="s">
        <v>73</v>
      </c>
      <c r="V1661" s="21" t="s">
        <v>74</v>
      </c>
      <c r="W1661" s="21" t="s">
        <v>257</v>
      </c>
      <c r="X1661" s="161" t="s">
        <v>3050</v>
      </c>
      <c r="Y1661" s="161">
        <v>0.2</v>
      </c>
      <c r="AA1661" s="161" t="s">
        <v>2953</v>
      </c>
      <c r="AB1661" s="161" t="s">
        <v>114</v>
      </c>
      <c r="AC1661" s="228" t="e">
        <f>HYPERLINK(#REF!,"ССЫЛКА")</f>
        <v>#REF!</v>
      </c>
      <c r="AD1661" s="170" t="s">
        <v>2859</v>
      </c>
    </row>
    <row r="1662" spans="1:30" s="161" customFormat="1" ht="39.950000000000003" hidden="1" customHeight="1" outlineLevel="1" x14ac:dyDescent="0.25">
      <c r="A1662" s="171"/>
      <c r="B1662" s="21" t="s">
        <v>1573</v>
      </c>
      <c r="C1662" s="159" t="s">
        <v>2974</v>
      </c>
      <c r="D1662" s="161">
        <v>36000</v>
      </c>
      <c r="E1662" s="161">
        <v>240</v>
      </c>
      <c r="F1662" s="161">
        <f t="shared" si="3"/>
        <v>150</v>
      </c>
      <c r="G1662" s="161" t="s">
        <v>3015</v>
      </c>
      <c r="H1662" s="161" t="s">
        <v>84</v>
      </c>
      <c r="I1662" s="161">
        <v>67</v>
      </c>
      <c r="J1662" s="161" t="s">
        <v>105</v>
      </c>
      <c r="K1662" s="21" t="s">
        <v>106</v>
      </c>
      <c r="L1662" s="161" t="s">
        <v>3380</v>
      </c>
      <c r="M1662" s="21" t="s">
        <v>66</v>
      </c>
      <c r="N1662" s="161" t="s">
        <v>108</v>
      </c>
      <c r="O1662" s="21" t="s">
        <v>2900</v>
      </c>
      <c r="P1662" s="161" t="s">
        <v>109</v>
      </c>
      <c r="Q1662" s="21" t="s">
        <v>2288</v>
      </c>
      <c r="R1662" s="161">
        <v>70</v>
      </c>
      <c r="S1662" s="161" t="s">
        <v>2952</v>
      </c>
      <c r="T1662" s="161" t="s">
        <v>1576</v>
      </c>
      <c r="U1662" s="161" t="s">
        <v>73</v>
      </c>
      <c r="V1662" s="21" t="s">
        <v>74</v>
      </c>
      <c r="W1662" s="21" t="s">
        <v>257</v>
      </c>
      <c r="X1662" s="161" t="s">
        <v>3050</v>
      </c>
      <c r="Y1662" s="161">
        <v>0.2</v>
      </c>
      <c r="AA1662" s="161" t="s">
        <v>2953</v>
      </c>
      <c r="AB1662" s="161" t="s">
        <v>114</v>
      </c>
      <c r="AC1662" s="228" t="e">
        <f>HYPERLINK(#REF!,"ССЫЛКА")</f>
        <v>#REF!</v>
      </c>
      <c r="AD1662" s="170" t="s">
        <v>2859</v>
      </c>
    </row>
    <row r="1663" spans="1:30" s="161" customFormat="1" ht="39.950000000000003" hidden="1" customHeight="1" outlineLevel="1" x14ac:dyDescent="0.25">
      <c r="A1663" s="171"/>
      <c r="B1663" s="21" t="s">
        <v>1573</v>
      </c>
      <c r="C1663" s="159" t="s">
        <v>2975</v>
      </c>
      <c r="D1663" s="161">
        <v>36000</v>
      </c>
      <c r="E1663" s="161">
        <v>240</v>
      </c>
      <c r="F1663" s="161">
        <f>D1663/E1663</f>
        <v>150</v>
      </c>
      <c r="G1663" s="161" t="s">
        <v>3016</v>
      </c>
      <c r="H1663" s="161" t="s">
        <v>1617</v>
      </c>
      <c r="I1663" s="161">
        <v>67</v>
      </c>
      <c r="J1663" s="161" t="s">
        <v>105</v>
      </c>
      <c r="K1663" s="21" t="s">
        <v>106</v>
      </c>
      <c r="L1663" s="161" t="s">
        <v>3380</v>
      </c>
      <c r="M1663" s="21" t="s">
        <v>66</v>
      </c>
      <c r="N1663" s="161" t="s">
        <v>108</v>
      </c>
      <c r="O1663" s="21" t="s">
        <v>2900</v>
      </c>
      <c r="P1663" s="161" t="s">
        <v>109</v>
      </c>
      <c r="Q1663" s="21" t="s">
        <v>2288</v>
      </c>
      <c r="R1663" s="161">
        <v>70</v>
      </c>
      <c r="S1663" s="161" t="s">
        <v>2952</v>
      </c>
      <c r="T1663" s="161" t="s">
        <v>1576</v>
      </c>
      <c r="U1663" s="161" t="s">
        <v>73</v>
      </c>
      <c r="V1663" s="21" t="s">
        <v>74</v>
      </c>
      <c r="W1663" s="21" t="s">
        <v>257</v>
      </c>
      <c r="X1663" s="161" t="s">
        <v>3050</v>
      </c>
      <c r="Y1663" s="161">
        <v>0.2</v>
      </c>
      <c r="AA1663" s="161" t="s">
        <v>2953</v>
      </c>
      <c r="AB1663" s="161" t="s">
        <v>114</v>
      </c>
      <c r="AC1663" s="228" t="e">
        <f>HYPERLINK(#REF!,"ССЫЛКА")</f>
        <v>#REF!</v>
      </c>
      <c r="AD1663" s="170" t="s">
        <v>2859</v>
      </c>
    </row>
    <row r="1664" spans="1:30" s="161" customFormat="1" ht="39.950000000000003" hidden="1" customHeight="1" outlineLevel="1" x14ac:dyDescent="0.25">
      <c r="A1664" s="171"/>
      <c r="B1664" s="21" t="s">
        <v>1573</v>
      </c>
      <c r="C1664" s="159" t="s">
        <v>2976</v>
      </c>
      <c r="D1664" s="161">
        <v>36000</v>
      </c>
      <c r="E1664" s="161">
        <v>240</v>
      </c>
      <c r="F1664" s="161">
        <f>D1664/E1664</f>
        <v>150</v>
      </c>
      <c r="G1664" s="161" t="s">
        <v>3017</v>
      </c>
      <c r="H1664" s="161" t="s">
        <v>1578</v>
      </c>
      <c r="I1664" s="161">
        <v>67</v>
      </c>
      <c r="J1664" s="161" t="s">
        <v>105</v>
      </c>
      <c r="K1664" s="21" t="s">
        <v>106</v>
      </c>
      <c r="L1664" s="161" t="s">
        <v>3380</v>
      </c>
      <c r="M1664" s="21" t="s">
        <v>66</v>
      </c>
      <c r="N1664" s="161" t="s">
        <v>108</v>
      </c>
      <c r="O1664" s="21" t="s">
        <v>2900</v>
      </c>
      <c r="P1664" s="161" t="s">
        <v>109</v>
      </c>
      <c r="Q1664" s="21" t="s">
        <v>2288</v>
      </c>
      <c r="R1664" s="161">
        <v>70</v>
      </c>
      <c r="S1664" s="161" t="s">
        <v>2952</v>
      </c>
      <c r="T1664" s="161" t="s">
        <v>1576</v>
      </c>
      <c r="U1664" s="161" t="s">
        <v>73</v>
      </c>
      <c r="V1664" s="21" t="s">
        <v>74</v>
      </c>
      <c r="W1664" s="21" t="s">
        <v>257</v>
      </c>
      <c r="X1664" s="161" t="s">
        <v>3050</v>
      </c>
      <c r="Y1664" s="161">
        <v>0.2</v>
      </c>
      <c r="AA1664" s="161" t="s">
        <v>2953</v>
      </c>
      <c r="AB1664" s="161" t="s">
        <v>114</v>
      </c>
      <c r="AC1664" s="228" t="e">
        <f>HYPERLINK(#REF!,"ССЫЛКА")</f>
        <v>#REF!</v>
      </c>
      <c r="AD1664" s="170" t="s">
        <v>2859</v>
      </c>
    </row>
    <row r="1665" spans="1:30" s="161" customFormat="1" ht="39.950000000000003" hidden="1" customHeight="1" outlineLevel="1" x14ac:dyDescent="0.25">
      <c r="A1665" s="171"/>
      <c r="B1665" s="21" t="s">
        <v>1573</v>
      </c>
      <c r="C1665" s="159" t="s">
        <v>3024</v>
      </c>
      <c r="D1665" s="161">
        <v>36000</v>
      </c>
      <c r="E1665" s="161">
        <v>240</v>
      </c>
      <c r="F1665" s="161">
        <f t="shared" ref="F1665:F1666" si="4">D1665/E1665</f>
        <v>150</v>
      </c>
      <c r="G1665" s="161" t="s">
        <v>3236</v>
      </c>
      <c r="H1665" s="161" t="s">
        <v>1578</v>
      </c>
      <c r="I1665" s="161">
        <v>67</v>
      </c>
      <c r="J1665" s="161" t="s">
        <v>105</v>
      </c>
      <c r="K1665" s="21" t="s">
        <v>106</v>
      </c>
      <c r="L1665" s="161" t="s">
        <v>3380</v>
      </c>
      <c r="M1665" s="21" t="s">
        <v>66</v>
      </c>
      <c r="N1665" s="161" t="s">
        <v>108</v>
      </c>
      <c r="O1665" s="21" t="s">
        <v>2900</v>
      </c>
      <c r="P1665" s="161" t="s">
        <v>109</v>
      </c>
      <c r="Q1665" s="21" t="s">
        <v>2288</v>
      </c>
      <c r="R1665" s="161">
        <v>70</v>
      </c>
      <c r="S1665" s="161" t="s">
        <v>2952</v>
      </c>
      <c r="T1665" s="161" t="s">
        <v>1576</v>
      </c>
      <c r="U1665" s="161" t="s">
        <v>73</v>
      </c>
      <c r="V1665" s="21" t="s">
        <v>74</v>
      </c>
      <c r="W1665" s="21" t="s">
        <v>160</v>
      </c>
      <c r="X1665" s="161" t="s">
        <v>3029</v>
      </c>
      <c r="Y1665" s="161">
        <v>0.2</v>
      </c>
      <c r="AA1665" s="161" t="s">
        <v>2953</v>
      </c>
      <c r="AB1665" s="161" t="s">
        <v>114</v>
      </c>
      <c r="AC1665" s="228" t="e">
        <f>HYPERLINK(#REF!,"ССЫЛКА")</f>
        <v>#REF!</v>
      </c>
      <c r="AD1665" s="170" t="s">
        <v>2859</v>
      </c>
    </row>
    <row r="1666" spans="1:30" s="161" customFormat="1" ht="39.950000000000003" hidden="1" customHeight="1" outlineLevel="1" x14ac:dyDescent="0.25">
      <c r="A1666" s="171"/>
      <c r="B1666" s="21" t="s">
        <v>1573</v>
      </c>
      <c r="C1666" s="159" t="s">
        <v>2977</v>
      </c>
      <c r="D1666" s="161">
        <v>36000</v>
      </c>
      <c r="E1666" s="161">
        <v>240</v>
      </c>
      <c r="F1666" s="161">
        <f t="shared" si="4"/>
        <v>150</v>
      </c>
      <c r="G1666" s="161" t="s">
        <v>3018</v>
      </c>
      <c r="H1666" s="161" t="s">
        <v>138</v>
      </c>
      <c r="I1666" s="161">
        <v>67</v>
      </c>
      <c r="J1666" s="161" t="s">
        <v>105</v>
      </c>
      <c r="K1666" s="21" t="s">
        <v>106</v>
      </c>
      <c r="L1666" s="161" t="s">
        <v>3380</v>
      </c>
      <c r="M1666" s="21" t="s">
        <v>66</v>
      </c>
      <c r="N1666" s="161" t="s">
        <v>108</v>
      </c>
      <c r="O1666" s="21" t="s">
        <v>2900</v>
      </c>
      <c r="P1666" s="161" t="s">
        <v>109</v>
      </c>
      <c r="Q1666" s="21" t="s">
        <v>2288</v>
      </c>
      <c r="R1666" s="161">
        <v>70</v>
      </c>
      <c r="S1666" s="161" t="s">
        <v>2952</v>
      </c>
      <c r="T1666" s="161" t="s">
        <v>1576</v>
      </c>
      <c r="U1666" s="161" t="s">
        <v>73</v>
      </c>
      <c r="V1666" s="21" t="s">
        <v>74</v>
      </c>
      <c r="W1666" s="21" t="s">
        <v>257</v>
      </c>
      <c r="X1666" s="161" t="s">
        <v>3050</v>
      </c>
      <c r="Y1666" s="161">
        <v>0.2</v>
      </c>
      <c r="AA1666" s="161" t="s">
        <v>2953</v>
      </c>
      <c r="AB1666" s="161" t="s">
        <v>114</v>
      </c>
      <c r="AC1666" s="228" t="e">
        <f>HYPERLINK(#REF!,"ССЫЛКА")</f>
        <v>#REF!</v>
      </c>
      <c r="AD1666" s="170" t="s">
        <v>2859</v>
      </c>
    </row>
  </sheetData>
  <autoFilter ref="A1:AD1666"/>
  <phoneticPr fontId="46" type="noConversion"/>
  <conditionalFormatting sqref="B989:AD997 AD999:AD1020 B999:AC1001 H1125:AD1125 C1113:G1117 H1123:S1123 Y1123:AD1123 I1126:AD1165 U1123:W1123 C1119:G1123 C1118 B1115:B1165 C1125:G1165 C1124 B1064:AD1073 B1258:AD1260 B1261:AC1261 B1262:G1262 B1278:AD1280 B1256:AD1256 B1252:Z1255 AD1596:AD1666 C537:AB542 AD537 AD542 B982:AD982">
    <cfRule type="expression" dxfId="981" priority="2114">
      <formula>MOD(ROW(),2)=0</formula>
    </cfRule>
  </conditionalFormatting>
  <conditionalFormatting sqref="B1:AD1">
    <cfRule type="expression" dxfId="980" priority="2193">
      <formula>MOD(ROW(),2)=0</formula>
    </cfRule>
  </conditionalFormatting>
  <conditionalFormatting sqref="B5:AD24">
    <cfRule type="expression" dxfId="979" priority="2191">
      <formula>MOD(ROW(),2)=0</formula>
    </cfRule>
  </conditionalFormatting>
  <conditionalFormatting sqref="B173:AD173">
    <cfRule type="expression" dxfId="978" priority="2189">
      <formula>MOD(ROW(),2)=0</formula>
    </cfRule>
  </conditionalFormatting>
  <conditionalFormatting sqref="B27:N27 Y32:AB40 B28:H40 K28:N40 P27:AB31 B141:AB170 B42:AB132 B172:C172 B134:AB139">
    <cfRule type="expression" dxfId="977" priority="2188">
      <formula>MOD(ROW(),2)=0</formula>
    </cfRule>
  </conditionalFormatting>
  <conditionalFormatting sqref="AC27:AD27">
    <cfRule type="expression" dxfId="976" priority="2185">
      <formula>MOD(ROW(),2)=0</formula>
    </cfRule>
  </conditionalFormatting>
  <conditionalFormatting sqref="AC28:AD40">
    <cfRule type="expression" dxfId="975" priority="2181">
      <formula>MOD(ROW(),2)=0</formula>
    </cfRule>
  </conditionalFormatting>
  <conditionalFormatting sqref="AC42:AD132">
    <cfRule type="expression" dxfId="974" priority="2177">
      <formula>MOD(ROW(),2)=0</formula>
    </cfRule>
  </conditionalFormatting>
  <conditionalFormatting sqref="AC134:AD139">
    <cfRule type="expression" dxfId="973" priority="2173">
      <formula>MOD(ROW(),2)=0</formula>
    </cfRule>
  </conditionalFormatting>
  <conditionalFormatting sqref="AC141:AD170">
    <cfRule type="expression" dxfId="972" priority="2169">
      <formula>MOD(ROW(),2)=0</formula>
    </cfRule>
  </conditionalFormatting>
  <conditionalFormatting sqref="N29">
    <cfRule type="expression" dxfId="971" priority="2166">
      <formula>MOD(ROW(),2)=0</formula>
    </cfRule>
  </conditionalFormatting>
  <conditionalFormatting sqref="N32">
    <cfRule type="expression" dxfId="970" priority="2165">
      <formula>MOD(ROW(),2)=0</formula>
    </cfRule>
  </conditionalFormatting>
  <conditionalFormatting sqref="P32:R34">
    <cfRule type="expression" dxfId="969" priority="2164">
      <formula>MOD(ROW(),2)=0</formula>
    </cfRule>
  </conditionalFormatting>
  <conditionalFormatting sqref="S32:V34">
    <cfRule type="expression" dxfId="968" priority="2163">
      <formula>MOD(ROW(),2)=0</formula>
    </cfRule>
  </conditionalFormatting>
  <conditionalFormatting sqref="N36:N37">
    <cfRule type="expression" dxfId="967" priority="2162">
      <formula>MOD(ROW(),2)=0</formula>
    </cfRule>
  </conditionalFormatting>
  <conditionalFormatting sqref="N35">
    <cfRule type="expression" dxfId="966" priority="2161">
      <formula>MOD(ROW(),2)=0</formula>
    </cfRule>
  </conditionalFormatting>
  <conditionalFormatting sqref="P35:R37">
    <cfRule type="expression" dxfId="965" priority="2160">
      <formula>MOD(ROW(),2)=0</formula>
    </cfRule>
  </conditionalFormatting>
  <conditionalFormatting sqref="S35:V37">
    <cfRule type="expression" dxfId="964" priority="2159">
      <formula>MOD(ROW(),2)=0</formula>
    </cfRule>
  </conditionalFormatting>
  <conditionalFormatting sqref="N39:N40">
    <cfRule type="expression" dxfId="963" priority="2158">
      <formula>MOD(ROW(),2)=0</formula>
    </cfRule>
  </conditionalFormatting>
  <conditionalFormatting sqref="N38">
    <cfRule type="expression" dxfId="962" priority="2157">
      <formula>MOD(ROW(),2)=0</formula>
    </cfRule>
  </conditionalFormatting>
  <conditionalFormatting sqref="P38:R40">
    <cfRule type="expression" dxfId="961" priority="2156">
      <formula>MOD(ROW(),2)=0</formula>
    </cfRule>
  </conditionalFormatting>
  <conditionalFormatting sqref="S38:V40">
    <cfRule type="expression" dxfId="960" priority="2155">
      <formula>MOD(ROW(),2)=0</formula>
    </cfRule>
  </conditionalFormatting>
  <conditionalFormatting sqref="X32">
    <cfRule type="expression" dxfId="959" priority="2154">
      <formula>MOD(ROW(),2)=0</formula>
    </cfRule>
  </conditionalFormatting>
  <conditionalFormatting sqref="X35">
    <cfRule type="expression" dxfId="958" priority="2153">
      <formula>MOD(ROW(),2)=0</formula>
    </cfRule>
  </conditionalFormatting>
  <conditionalFormatting sqref="X34">
    <cfRule type="expression" dxfId="957" priority="2152">
      <formula>MOD(ROW(),2)=0</formula>
    </cfRule>
  </conditionalFormatting>
  <conditionalFormatting sqref="X37">
    <cfRule type="expression" dxfId="956" priority="2151">
      <formula>MOD(ROW(),2)=0</formula>
    </cfRule>
  </conditionalFormatting>
  <conditionalFormatting sqref="X40">
    <cfRule type="expression" dxfId="955" priority="2150">
      <formula>MOD(ROW(),2)=0</formula>
    </cfRule>
  </conditionalFormatting>
  <conditionalFormatting sqref="X33">
    <cfRule type="expression" dxfId="954" priority="2149">
      <formula>MOD(ROW(),2)=0</formula>
    </cfRule>
  </conditionalFormatting>
  <conditionalFormatting sqref="X36">
    <cfRule type="expression" dxfId="953" priority="2148">
      <formula>MOD(ROW(),2)=0</formula>
    </cfRule>
  </conditionalFormatting>
  <conditionalFormatting sqref="W32:W40">
    <cfRule type="expression" dxfId="952" priority="2147">
      <formula>MOD(ROW(),2)=0</formula>
    </cfRule>
  </conditionalFormatting>
  <conditionalFormatting sqref="J28:J40">
    <cfRule type="expression" dxfId="951" priority="2146">
      <formula>MOD(ROW(),2)=0</formula>
    </cfRule>
  </conditionalFormatting>
  <conditionalFormatting sqref="I28:I40">
    <cfRule type="expression" dxfId="950" priority="2145">
      <formula>MOD(ROW(),2)=0</formula>
    </cfRule>
  </conditionalFormatting>
  <conditionalFormatting sqref="O27:O40">
    <cfRule type="expression" dxfId="949" priority="2144">
      <formula>MOD(ROW(),2)=0</formula>
    </cfRule>
  </conditionalFormatting>
  <conditionalFormatting sqref="X38">
    <cfRule type="expression" dxfId="948" priority="2143">
      <formula>MOD(ROW(),2)=0</formula>
    </cfRule>
  </conditionalFormatting>
  <conditionalFormatting sqref="X39">
    <cfRule type="expression" dxfId="947" priority="2142">
      <formula>MOD(ROW(),2)=0</formula>
    </cfRule>
  </conditionalFormatting>
  <conditionalFormatting sqref="AC172:AD172">
    <cfRule type="expression" dxfId="946" priority="2140">
      <formula>MOD(ROW(),2)=0</formula>
    </cfRule>
  </conditionalFormatting>
  <conditionalFormatting sqref="D172:AB172">
    <cfRule type="expression" dxfId="945" priority="2141">
      <formula>MOD(ROW(),2)=0</formula>
    </cfRule>
  </conditionalFormatting>
  <conditionalFormatting sqref="B175:AD178">
    <cfRule type="expression" dxfId="944" priority="2136">
      <formula>MOD(ROW(),2)=0</formula>
    </cfRule>
  </conditionalFormatting>
  <conditionalFormatting sqref="B180:AD182">
    <cfRule type="expression" dxfId="943" priority="2133">
      <formula>MOD(ROW(),2)=0</formula>
    </cfRule>
  </conditionalFormatting>
  <conditionalFormatting sqref="B210:AC210 B195:AD206 B192:F193 H192:AD193 B184:AD191 B207:AC208">
    <cfRule type="expression" dxfId="942" priority="2132">
      <formula>MOD(ROW(),2)=0</formula>
    </cfRule>
  </conditionalFormatting>
  <conditionalFormatting sqref="B209:K209 U209 M209:S209 X209:Z209 AB209:AC209">
    <cfRule type="expression" dxfId="941" priority="2131">
      <formula>MOD(ROW(),2)=0</formula>
    </cfRule>
  </conditionalFormatting>
  <conditionalFormatting sqref="W209">
    <cfRule type="expression" dxfId="940" priority="2130">
      <formula>MOD(ROW(),2)=0</formula>
    </cfRule>
  </conditionalFormatting>
  <conditionalFormatting sqref="V209">
    <cfRule type="expression" dxfId="939" priority="2129">
      <formula>MOD(ROW(),2)=0</formula>
    </cfRule>
  </conditionalFormatting>
  <conditionalFormatting sqref="T209">
    <cfRule type="expression" dxfId="938" priority="2128">
      <formula>MOD(ROW(),2)=0</formula>
    </cfRule>
  </conditionalFormatting>
  <conditionalFormatting sqref="L209">
    <cfRule type="expression" dxfId="937" priority="2127">
      <formula>MOD(ROW(),2)=0</formula>
    </cfRule>
  </conditionalFormatting>
  <conditionalFormatting sqref="AA209">
    <cfRule type="expression" dxfId="936" priority="2122">
      <formula>MOD(ROW(),2)=0</formula>
    </cfRule>
  </conditionalFormatting>
  <conditionalFormatting sqref="G192:G193">
    <cfRule type="expression" dxfId="935" priority="2120">
      <formula>MOD(ROW(),2)=0</formula>
    </cfRule>
  </conditionalFormatting>
  <conditionalFormatting sqref="B194:F194 H194:AD194">
    <cfRule type="expression" dxfId="934" priority="2119">
      <formula>MOD(ROW(),2)=0</formula>
    </cfRule>
  </conditionalFormatting>
  <conditionalFormatting sqref="G194">
    <cfRule type="expression" dxfId="933" priority="2118">
      <formula>MOD(ROW(),2)=0</formula>
    </cfRule>
  </conditionalFormatting>
  <conditionalFormatting sqref="AD207:AD210">
    <cfRule type="expression" dxfId="932" priority="2117">
      <formula>MOD(ROW(),2)=0</formula>
    </cfRule>
  </conditionalFormatting>
  <conditionalFormatting sqref="B232:AD232 B213:AC231 B233:AC257">
    <cfRule type="expression" dxfId="931" priority="2116">
      <formula>MOD(ROW(),2)=0</formula>
    </cfRule>
  </conditionalFormatting>
  <conditionalFormatting sqref="B285:AD394 B397:AD397">
    <cfRule type="expression" dxfId="930" priority="2115">
      <formula>MOD(ROW(),2)=0</formula>
    </cfRule>
  </conditionalFormatting>
  <conditionalFormatting sqref="B398:AD398">
    <cfRule type="expression" dxfId="929" priority="2113">
      <formula>MOD(ROW(),2)=0</formula>
    </cfRule>
  </conditionalFormatting>
  <conditionalFormatting sqref="AC411:AD411 X411:Z411 V411 AD405:AD410 AD412:AD415 B411:M411 B405:G410 B412:G415">
    <cfRule type="expression" dxfId="928" priority="2112">
      <formula>MOD(ROW(),2)=0</formula>
    </cfRule>
  </conditionalFormatting>
  <conditionalFormatting sqref="N411">
    <cfRule type="expression" dxfId="927" priority="2111">
      <formula>MOD(ROW(),2)=0</formula>
    </cfRule>
  </conditionalFormatting>
  <conditionalFormatting sqref="O411:T411">
    <cfRule type="expression" dxfId="926" priority="2110">
      <formula>MOD(ROW(),2)=0</formula>
    </cfRule>
  </conditionalFormatting>
  <conditionalFormatting sqref="W411">
    <cfRule type="expression" dxfId="925" priority="2109">
      <formula>MOD(ROW(),2)=0</formula>
    </cfRule>
  </conditionalFormatting>
  <conditionalFormatting sqref="AA411">
    <cfRule type="expression" dxfId="924" priority="2108">
      <formula>MOD(ROW(),2)=0</formula>
    </cfRule>
  </conditionalFormatting>
  <conditionalFormatting sqref="AB411">
    <cfRule type="expression" dxfId="923" priority="2107">
      <formula>MOD(ROW(),2)=0</formula>
    </cfRule>
  </conditionalFormatting>
  <conditionalFormatting sqref="U411">
    <cfRule type="expression" dxfId="922" priority="2102">
      <formula>MOD(ROW(),2)=0</formula>
    </cfRule>
  </conditionalFormatting>
  <conditionalFormatting sqref="B418:G419 B417:J417">
    <cfRule type="expression" dxfId="921" priority="2101">
      <formula>MOD(ROW(),2)=0</formula>
    </cfRule>
  </conditionalFormatting>
  <conditionalFormatting sqref="AC417:AD417">
    <cfRule type="expression" dxfId="920" priority="2089">
      <formula>MOD(ROW(),2)=0</formula>
    </cfRule>
  </conditionalFormatting>
  <conditionalFormatting sqref="AC418:AD418">
    <cfRule type="expression" dxfId="919" priority="2085">
      <formula>MOD(ROW(),2)=0</formula>
    </cfRule>
  </conditionalFormatting>
  <conditionalFormatting sqref="AC419:AD419">
    <cfRule type="expression" dxfId="918" priority="2081">
      <formula>MOD(ROW(),2)=0</formula>
    </cfRule>
  </conditionalFormatting>
  <conditionalFormatting sqref="O418:T419 V418:Z419">
    <cfRule type="expression" dxfId="917" priority="2062">
      <formula>MOD(ROW(),2)=0</formula>
    </cfRule>
  </conditionalFormatting>
  <conditionalFormatting sqref="K417:M417">
    <cfRule type="expression" dxfId="916" priority="2070">
      <formula>MOD(ROW(),2)=0</formula>
    </cfRule>
  </conditionalFormatting>
  <conditionalFormatting sqref="N417">
    <cfRule type="expression" dxfId="915" priority="2069">
      <formula>MOD(ROW(),2)=0</formula>
    </cfRule>
  </conditionalFormatting>
  <conditionalFormatting sqref="O417:T417 V417:Z417">
    <cfRule type="expression" dxfId="914" priority="2068">
      <formula>MOD(ROW(),2)=0</formula>
    </cfRule>
  </conditionalFormatting>
  <conditionalFormatting sqref="U417">
    <cfRule type="expression" dxfId="913" priority="2067">
      <formula>MOD(ROW(),2)=0</formula>
    </cfRule>
  </conditionalFormatting>
  <conditionalFormatting sqref="AA417:AB417">
    <cfRule type="expression" dxfId="912" priority="2066">
      <formula>MOD(ROW(),2)=0</formula>
    </cfRule>
  </conditionalFormatting>
  <conditionalFormatting sqref="H418:J419">
    <cfRule type="expression" dxfId="911" priority="2065">
      <formula>MOD(ROW(),2)=0</formula>
    </cfRule>
  </conditionalFormatting>
  <conditionalFormatting sqref="K418:M419">
    <cfRule type="expression" dxfId="910" priority="2064">
      <formula>MOD(ROW(),2)=0</formula>
    </cfRule>
  </conditionalFormatting>
  <conditionalFormatting sqref="N418:N419">
    <cfRule type="expression" dxfId="909" priority="2063">
      <formula>MOD(ROW(),2)=0</formula>
    </cfRule>
  </conditionalFormatting>
  <conditionalFormatting sqref="U418:U419">
    <cfRule type="expression" dxfId="908" priority="2061">
      <formula>MOD(ROW(),2)=0</formula>
    </cfRule>
  </conditionalFormatting>
  <conditionalFormatting sqref="AA418:AB419">
    <cfRule type="expression" dxfId="907" priority="2060">
      <formula>MOD(ROW(),2)=0</formula>
    </cfRule>
  </conditionalFormatting>
  <conditionalFormatting sqref="B468:AD471 B464:AD466 B599:AD667 B473:AD473 B474:I475 B476:AD507 K474:T475 AB474:AD475 B547:AD597 V474:Z475 B524:C524 B526:AB526 B525:F525 H525:AB525 C511:AB518 B544:AB546 AD543:AD546 C543:AB543 C527:AB536 B527:B543">
    <cfRule type="expression" dxfId="906" priority="2059">
      <formula>MOD(ROW(),2)=0</formula>
    </cfRule>
  </conditionalFormatting>
  <conditionalFormatting sqref="B472:T472 V472:Z472 AB472:AD472">
    <cfRule type="expression" dxfId="905" priority="2058">
      <formula>MOD(ROW(),2)=0</formula>
    </cfRule>
  </conditionalFormatting>
  <conditionalFormatting sqref="B467:T467 V467:Z467 AB467:AD467">
    <cfRule type="expression" dxfId="904" priority="2057">
      <formula>MOD(ROW(),2)=0</formula>
    </cfRule>
  </conditionalFormatting>
  <conditionalFormatting sqref="U472">
    <cfRule type="expression" dxfId="903" priority="2051">
      <formula>MOD(ROW(),2)=0</formula>
    </cfRule>
  </conditionalFormatting>
  <conditionalFormatting sqref="AA467">
    <cfRule type="expression" dxfId="902" priority="2053">
      <formula>MOD(ROW(),2)=0</formula>
    </cfRule>
  </conditionalFormatting>
  <conditionalFormatting sqref="U467">
    <cfRule type="expression" dxfId="901" priority="2052">
      <formula>MOD(ROW(),2)=0</formula>
    </cfRule>
  </conditionalFormatting>
  <conditionalFormatting sqref="AA472">
    <cfRule type="expression" dxfId="900" priority="2050">
      <formula>MOD(ROW(),2)=0</formula>
    </cfRule>
  </conditionalFormatting>
  <conditionalFormatting sqref="J475">
    <cfRule type="expression" dxfId="899" priority="2049">
      <formula>MOD(ROW(),2)=0</formula>
    </cfRule>
  </conditionalFormatting>
  <conditionalFormatting sqref="J474">
    <cfRule type="expression" dxfId="898" priority="2048">
      <formula>MOD(ROW(),2)=0</formula>
    </cfRule>
  </conditionalFormatting>
  <conditionalFormatting sqref="U474">
    <cfRule type="expression" dxfId="897" priority="2047">
      <formula>MOD(ROW(),2)=0</formula>
    </cfRule>
  </conditionalFormatting>
  <conditionalFormatting sqref="U475">
    <cfRule type="expression" dxfId="896" priority="2046">
      <formula>MOD(ROW(),2)=0</formula>
    </cfRule>
  </conditionalFormatting>
  <conditionalFormatting sqref="AA474">
    <cfRule type="expression" dxfId="895" priority="2045">
      <formula>MOD(ROW(),2)=0</formula>
    </cfRule>
  </conditionalFormatting>
  <conditionalFormatting sqref="AA475">
    <cfRule type="expression" dxfId="894" priority="2044">
      <formula>MOD(ROW(),2)=0</formula>
    </cfRule>
  </conditionalFormatting>
  <conditionalFormatting sqref="B669:C689">
    <cfRule type="expression" dxfId="893" priority="2043">
      <formula>MOD(ROW(),2)=0</formula>
    </cfRule>
  </conditionalFormatting>
  <conditionalFormatting sqref="D685:D689 K685:K689 M685:Q689 F685:G689 Y685:AD685 Y686:AA689 AC686:AD689 S685:S689 V685:W689">
    <cfRule type="expression" dxfId="892" priority="2042">
      <formula>MOD(ROW(),2)=0</formula>
    </cfRule>
  </conditionalFormatting>
  <conditionalFormatting sqref="AB689">
    <cfRule type="expression" dxfId="891" priority="2025">
      <formula>MOD(ROW(),2)=0</formula>
    </cfRule>
  </conditionalFormatting>
  <conditionalFormatting sqref="I670:I689 J674:K684 D669:D684 I669:AD669 F669:G684 X670:X689 Y670:AD684 J670:W670 J671:Q673 M674:Q684 R671:T675 R676:R689 S676:T678 V671:W684 U671:U689 S679:S684 T679:T689">
    <cfRule type="expression" dxfId="890" priority="2041">
      <formula>MOD(ROW(),2)=0</formula>
    </cfRule>
  </conditionalFormatting>
  <conditionalFormatting sqref="J685">
    <cfRule type="expression" dxfId="889" priority="2040">
      <formula>MOD(ROW(),2)=0</formula>
    </cfRule>
  </conditionalFormatting>
  <conditionalFormatting sqref="J686">
    <cfRule type="expression" dxfId="888" priority="2039">
      <formula>MOD(ROW(),2)=0</formula>
    </cfRule>
  </conditionalFormatting>
  <conditionalFormatting sqref="J687">
    <cfRule type="expression" dxfId="887" priority="2038">
      <formula>MOD(ROW(),2)=0</formula>
    </cfRule>
  </conditionalFormatting>
  <conditionalFormatting sqref="J688">
    <cfRule type="expression" dxfId="886" priority="2037">
      <formula>MOD(ROW(),2)=0</formula>
    </cfRule>
  </conditionalFormatting>
  <conditionalFormatting sqref="J689">
    <cfRule type="expression" dxfId="885" priority="2036">
      <formula>MOD(ROW(),2)=0</formula>
    </cfRule>
  </conditionalFormatting>
  <conditionalFormatting sqref="L674:L678">
    <cfRule type="expression" dxfId="884" priority="2035">
      <formula>MOD(ROW(),2)=0</formula>
    </cfRule>
  </conditionalFormatting>
  <conditionalFormatting sqref="L679:L683">
    <cfRule type="expression" dxfId="883" priority="2034">
      <formula>MOD(ROW(),2)=0</formula>
    </cfRule>
  </conditionalFormatting>
  <conditionalFormatting sqref="L684:L688">
    <cfRule type="expression" dxfId="882" priority="2033">
      <formula>MOD(ROW(),2)=0</formula>
    </cfRule>
  </conditionalFormatting>
  <conditionalFormatting sqref="L689">
    <cfRule type="expression" dxfId="881" priority="2032">
      <formula>MOD(ROW(),2)=0</formula>
    </cfRule>
  </conditionalFormatting>
  <conditionalFormatting sqref="H669:H689">
    <cfRule type="expression" dxfId="880" priority="2031">
      <formula>MOD(ROW(),2)=0</formula>
    </cfRule>
  </conditionalFormatting>
  <conditionalFormatting sqref="E685:E689">
    <cfRule type="expression" dxfId="879" priority="2030">
      <formula>MOD(ROW(),2)=0</formula>
    </cfRule>
  </conditionalFormatting>
  <conditionalFormatting sqref="E669:E684">
    <cfRule type="expression" dxfId="878" priority="2029">
      <formula>MOD(ROW(),2)=0</formula>
    </cfRule>
  </conditionalFormatting>
  <conditionalFormatting sqref="AB687">
    <cfRule type="expression" dxfId="877" priority="2028">
      <formula>MOD(ROW(),2)=0</formula>
    </cfRule>
  </conditionalFormatting>
  <conditionalFormatting sqref="AB686">
    <cfRule type="expression" dxfId="876" priority="2027">
      <formula>MOD(ROW(),2)=0</formula>
    </cfRule>
  </conditionalFormatting>
  <conditionalFormatting sqref="AB688">
    <cfRule type="expression" dxfId="875" priority="2026">
      <formula>MOD(ROW(),2)=0</formula>
    </cfRule>
  </conditionalFormatting>
  <conditionalFormatting sqref="B1015:B1017 D1015:Z1017 B1007:AC1009 B1003:G1005 B1011:AC1013 B1019:B1020 B1022:B1030">
    <cfRule type="expression" dxfId="874" priority="1893">
      <formula>MOD(ROW(),2)=0</formula>
    </cfRule>
  </conditionalFormatting>
  <conditionalFormatting sqref="AA1015:AC1017">
    <cfRule type="expression" dxfId="873" priority="1891">
      <formula>MOD(ROW(),2)=0</formula>
    </cfRule>
  </conditionalFormatting>
  <conditionalFormatting sqref="D1019:Z1020 D1025:G1025 D1026:H1026 D1027:G1030 S1027:T1029 D1023:H1024 X1027:Y1027 X1023:Z1026 D1022:G1022 I1022:Z1022">
    <cfRule type="expression" dxfId="872" priority="1888">
      <formula>MOD(ROW(),2)=0</formula>
    </cfRule>
  </conditionalFormatting>
  <conditionalFormatting sqref="AA1019:AC1020 AA1022:AC1022">
    <cfRule type="expression" dxfId="871" priority="1887">
      <formula>MOD(ROW(),2)=0</formula>
    </cfRule>
  </conditionalFormatting>
  <conditionalFormatting sqref="H1003:AC1005">
    <cfRule type="expression" dxfId="870" priority="1881">
      <formula>MOD(ROW(),2)=0</formula>
    </cfRule>
  </conditionalFormatting>
  <conditionalFormatting sqref="B1002:AC1002">
    <cfRule type="expression" dxfId="869" priority="1879">
      <formula>MOD(ROW(),2)=0</formula>
    </cfRule>
  </conditionalFormatting>
  <conditionalFormatting sqref="I1006:AC1006">
    <cfRule type="expression" dxfId="868" priority="1875">
      <formula>MOD(ROW(),2)=0</formula>
    </cfRule>
  </conditionalFormatting>
  <conditionalFormatting sqref="H1006">
    <cfRule type="expression" dxfId="867" priority="1874">
      <formula>MOD(ROW(),2)=0</formula>
    </cfRule>
  </conditionalFormatting>
  <conditionalFormatting sqref="B1006:G1006">
    <cfRule type="expression" dxfId="866" priority="1877">
      <formula>MOD(ROW(),2)=0</formula>
    </cfRule>
  </conditionalFormatting>
  <conditionalFormatting sqref="H1010">
    <cfRule type="expression" dxfId="865" priority="1871">
      <formula>MOD(ROW(),2)=0</formula>
    </cfRule>
  </conditionalFormatting>
  <conditionalFormatting sqref="B1010:G1010 I1010:AC1010">
    <cfRule type="expression" dxfId="864" priority="1873">
      <formula>MOD(ROW(),2)=0</formula>
    </cfRule>
  </conditionalFormatting>
  <conditionalFormatting sqref="H1014">
    <cfRule type="expression" dxfId="863" priority="1868">
      <formula>MOD(ROW(),2)=0</formula>
    </cfRule>
  </conditionalFormatting>
  <conditionalFormatting sqref="B1014:G1014 I1014:AC1014">
    <cfRule type="expression" dxfId="862" priority="1870">
      <formula>MOD(ROW(),2)=0</formula>
    </cfRule>
  </conditionalFormatting>
  <conditionalFormatting sqref="H1018">
    <cfRule type="expression" dxfId="861" priority="1863">
      <formula>MOD(ROW(),2)=0</formula>
    </cfRule>
  </conditionalFormatting>
  <conditionalFormatting sqref="B1018 D1018:G1018 I1018:Z1018">
    <cfRule type="expression" dxfId="860" priority="1867">
      <formula>MOD(ROW(),2)=0</formula>
    </cfRule>
  </conditionalFormatting>
  <conditionalFormatting sqref="AA1018:AC1018">
    <cfRule type="expression" dxfId="859" priority="1866">
      <formula>MOD(ROW(),2)=0</formula>
    </cfRule>
  </conditionalFormatting>
  <conditionalFormatting sqref="U1023:W1023 U1024:V1029">
    <cfRule type="expression" dxfId="858" priority="1845">
      <formula>MOD(ROW(),2)=0</formula>
    </cfRule>
  </conditionalFormatting>
  <conditionalFormatting sqref="W1024:W1030">
    <cfRule type="expression" dxfId="857" priority="1842">
      <formula>MOD(ROW(),2)=0</formula>
    </cfRule>
  </conditionalFormatting>
  <conditionalFormatting sqref="H1025">
    <cfRule type="expression" dxfId="856" priority="1862">
      <formula>MOD(ROW(),2)=0</formula>
    </cfRule>
  </conditionalFormatting>
  <conditionalFormatting sqref="H1027:H1028 H1030">
    <cfRule type="expression" dxfId="855" priority="1861">
      <formula>MOD(ROW(),2)=0</formula>
    </cfRule>
  </conditionalFormatting>
  <conditionalFormatting sqref="H1029">
    <cfRule type="expression" dxfId="854" priority="1860">
      <formula>MOD(ROW(),2)=0</formula>
    </cfRule>
  </conditionalFormatting>
  <conditionalFormatting sqref="S1023:T1023">
    <cfRule type="expression" dxfId="853" priority="1859">
      <formula>MOD(ROW(),2)=0</formula>
    </cfRule>
  </conditionalFormatting>
  <conditionalFormatting sqref="T1024">
    <cfRule type="expression" dxfId="852" priority="1858">
      <formula>MOD(ROW(),2)=0</formula>
    </cfRule>
  </conditionalFormatting>
  <conditionalFormatting sqref="T1025">
    <cfRule type="expression" dxfId="851" priority="1857">
      <formula>MOD(ROW(),2)=0</formula>
    </cfRule>
  </conditionalFormatting>
  <conditionalFormatting sqref="T1026">
    <cfRule type="expression" dxfId="850" priority="1856">
      <formula>MOD(ROW(),2)=0</formula>
    </cfRule>
  </conditionalFormatting>
  <conditionalFormatting sqref="S1024:S1026">
    <cfRule type="expression" dxfId="849" priority="1855">
      <formula>MOD(ROW(),2)=0</formula>
    </cfRule>
  </conditionalFormatting>
  <conditionalFormatting sqref="I1030:P1030 S1027:T1030 U1030:V1030 Z1030:AC1030">
    <cfRule type="expression" dxfId="848" priority="1854">
      <formula>MOD(ROW(),2)=0</formula>
    </cfRule>
  </conditionalFormatting>
  <conditionalFormatting sqref="Z1027:Z1029">
    <cfRule type="expression" dxfId="847" priority="1852">
      <formula>MOD(ROW(),2)=0</formula>
    </cfRule>
  </conditionalFormatting>
  <conditionalFormatting sqref="AA1023:AC1029">
    <cfRule type="expression" dxfId="846" priority="1851">
      <formula>MOD(ROW(),2)=0</formula>
    </cfRule>
  </conditionalFormatting>
  <conditionalFormatting sqref="I1023:P1029">
    <cfRule type="expression" dxfId="845" priority="1847">
      <formula>MOD(ROW(),2)=0</formula>
    </cfRule>
  </conditionalFormatting>
  <conditionalFormatting sqref="Q1023:R1030">
    <cfRule type="expression" dxfId="844" priority="1846">
      <formula>MOD(ROW(),2)=0</formula>
    </cfRule>
  </conditionalFormatting>
  <conditionalFormatting sqref="X1028:X1030">
    <cfRule type="expression" dxfId="843" priority="1841">
      <formula>MOD(ROW(),2)=0</formula>
    </cfRule>
  </conditionalFormatting>
  <conditionalFormatting sqref="Y1028:Y1030">
    <cfRule type="expression" dxfId="842" priority="1840">
      <formula>MOD(ROW(),2)=0</formula>
    </cfRule>
  </conditionalFormatting>
  <conditionalFormatting sqref="AD1022:AD1030">
    <cfRule type="expression" dxfId="841" priority="1838">
      <formula>MOD(ROW(),2)=0</formula>
    </cfRule>
  </conditionalFormatting>
  <conditionalFormatting sqref="B1021">
    <cfRule type="expression" dxfId="840" priority="1837">
      <formula>MOD(ROW(),2)=0</formula>
    </cfRule>
  </conditionalFormatting>
  <conditionalFormatting sqref="D1021:Z1021">
    <cfRule type="expression" dxfId="839" priority="1836">
      <formula>MOD(ROW(),2)=0</formula>
    </cfRule>
  </conditionalFormatting>
  <conditionalFormatting sqref="AA1021:AC1021">
    <cfRule type="expression" dxfId="838" priority="1835">
      <formula>MOD(ROW(),2)=0</formula>
    </cfRule>
  </conditionalFormatting>
  <conditionalFormatting sqref="AD1021">
    <cfRule type="expression" dxfId="837" priority="1830">
      <formula>MOD(ROW(),2)=0</formula>
    </cfRule>
  </conditionalFormatting>
  <conditionalFormatting sqref="H1022">
    <cfRule type="expression" dxfId="836" priority="1829">
      <formula>MOD(ROW(),2)=0</formula>
    </cfRule>
  </conditionalFormatting>
  <conditionalFormatting sqref="B1059:AC1059">
    <cfRule type="expression" dxfId="835" priority="1644">
      <formula>MOD(ROW(),2)=0</formula>
    </cfRule>
  </conditionalFormatting>
  <conditionalFormatting sqref="B1058">
    <cfRule type="expression" dxfId="834" priority="1626">
      <formula>MOD(ROW(),2)=0</formula>
    </cfRule>
  </conditionalFormatting>
  <conditionalFormatting sqref="J1058">
    <cfRule type="expression" dxfId="833" priority="1625">
      <formula>MOD(ROW(),2)=0</formula>
    </cfRule>
  </conditionalFormatting>
  <conditionalFormatting sqref="I1058">
    <cfRule type="expression" dxfId="832" priority="1624">
      <formula>MOD(ROW(),2)=0</formula>
    </cfRule>
  </conditionalFormatting>
  <conditionalFormatting sqref="C1058:G1058 K1058:X1058">
    <cfRule type="expression" dxfId="831" priority="1645">
      <formula>MOD(ROW(),2)=0</formula>
    </cfRule>
  </conditionalFormatting>
  <conditionalFormatting sqref="AD1059">
    <cfRule type="expression" dxfId="830" priority="1641">
      <formula>MOD(ROW(),2)=0</formula>
    </cfRule>
  </conditionalFormatting>
  <conditionalFormatting sqref="AC1058">
    <cfRule type="expression" dxfId="829" priority="1621">
      <formula>MOD(ROW(),2)=0</formula>
    </cfRule>
  </conditionalFormatting>
  <conditionalFormatting sqref="Y1058:AB1058">
    <cfRule type="expression" dxfId="828" priority="1622">
      <formula>MOD(ROW(),2)=0</formula>
    </cfRule>
  </conditionalFormatting>
  <conditionalFormatting sqref="H1058">
    <cfRule type="expression" dxfId="827" priority="1623">
      <formula>MOD(ROW(),2)=0</formula>
    </cfRule>
  </conditionalFormatting>
  <conditionalFormatting sqref="AD1058">
    <cfRule type="expression" dxfId="826" priority="1618">
      <formula>MOD(ROW(),2)=0</formula>
    </cfRule>
  </conditionalFormatting>
  <conditionalFormatting sqref="B719:AD758">
    <cfRule type="expression" dxfId="825" priority="1566">
      <formula>MOD(ROW(),2)=0</formula>
    </cfRule>
  </conditionalFormatting>
  <conditionalFormatting sqref="B695:AD716">
    <cfRule type="expression" dxfId="824" priority="1572">
      <formula>MOD(ROW(),2)=0</formula>
    </cfRule>
  </conditionalFormatting>
  <conditionalFormatting sqref="B813:G813 X810:Y813 X809 B808:B812 D808:G812 B760:AB807 AC760:AD820 B814:AB820">
    <cfRule type="expression" dxfId="823" priority="1565">
      <formula>MOD(ROW(),2)=0</formula>
    </cfRule>
  </conditionalFormatting>
  <conditionalFormatting sqref="H808:W808 Z808:Z813 AA808:AB808">
    <cfRule type="expression" dxfId="822" priority="1564">
      <formula>MOD(ROW(),2)=0</formula>
    </cfRule>
  </conditionalFormatting>
  <conditionalFormatting sqref="H809:O813">
    <cfRule type="expression" dxfId="821" priority="1562">
      <formula>MOD(ROW(),2)=0</formula>
    </cfRule>
  </conditionalFormatting>
  <conditionalFormatting sqref="P809:R813">
    <cfRule type="expression" dxfId="820" priority="1561">
      <formula>MOD(ROW(),2)=0</formula>
    </cfRule>
  </conditionalFormatting>
  <conditionalFormatting sqref="S809">
    <cfRule type="expression" dxfId="819" priority="1560">
      <formula>MOD(ROW(),2)=0</formula>
    </cfRule>
  </conditionalFormatting>
  <conditionalFormatting sqref="T809">
    <cfRule type="expression" dxfId="818" priority="1559">
      <formula>MOD(ROW(),2)=0</formula>
    </cfRule>
  </conditionalFormatting>
  <conditionalFormatting sqref="S810">
    <cfRule type="expression" dxfId="817" priority="1558">
      <formula>MOD(ROW(),2)=0</formula>
    </cfRule>
  </conditionalFormatting>
  <conditionalFormatting sqref="T810">
    <cfRule type="expression" dxfId="816" priority="1557">
      <formula>MOD(ROW(),2)=0</formula>
    </cfRule>
  </conditionalFormatting>
  <conditionalFormatting sqref="S811">
    <cfRule type="expression" dxfId="815" priority="1556">
      <formula>MOD(ROW(),2)=0</formula>
    </cfRule>
  </conditionalFormatting>
  <conditionalFormatting sqref="T811">
    <cfRule type="expression" dxfId="814" priority="1555">
      <formula>MOD(ROW(),2)=0</formula>
    </cfRule>
  </conditionalFormatting>
  <conditionalFormatting sqref="S812">
    <cfRule type="expression" dxfId="813" priority="1554">
      <formula>MOD(ROW(),2)=0</formula>
    </cfRule>
  </conditionalFormatting>
  <conditionalFormatting sqref="T812:T813">
    <cfRule type="expression" dxfId="812" priority="1553">
      <formula>MOD(ROW(),2)=0</formula>
    </cfRule>
  </conditionalFormatting>
  <conditionalFormatting sqref="S813">
    <cfRule type="expression" dxfId="811" priority="1552">
      <formula>MOD(ROW(),2)=0</formula>
    </cfRule>
  </conditionalFormatting>
  <conditionalFormatting sqref="U809:V813">
    <cfRule type="expression" dxfId="810" priority="1551">
      <formula>MOD(ROW(),2)=0</formula>
    </cfRule>
  </conditionalFormatting>
  <conditionalFormatting sqref="W809">
    <cfRule type="expression" dxfId="809" priority="1550">
      <formula>MOD(ROW(),2)=0</formula>
    </cfRule>
  </conditionalFormatting>
  <conditionalFormatting sqref="W810">
    <cfRule type="expression" dxfId="808" priority="1549">
      <formula>MOD(ROW(),2)=0</formula>
    </cfRule>
  </conditionalFormatting>
  <conditionalFormatting sqref="W811">
    <cfRule type="expression" dxfId="807" priority="1548">
      <formula>MOD(ROW(),2)=0</formula>
    </cfRule>
  </conditionalFormatting>
  <conditionalFormatting sqref="W812">
    <cfRule type="expression" dxfId="806" priority="1547">
      <formula>MOD(ROW(),2)=0</formula>
    </cfRule>
  </conditionalFormatting>
  <conditionalFormatting sqref="W813">
    <cfRule type="expression" dxfId="805" priority="1546">
      <formula>MOD(ROW(),2)=0</formula>
    </cfRule>
  </conditionalFormatting>
  <conditionalFormatting sqref="X808">
    <cfRule type="expression" dxfId="804" priority="1545">
      <formula>MOD(ROW(),2)=0</formula>
    </cfRule>
  </conditionalFormatting>
  <conditionalFormatting sqref="AA809:AA813">
    <cfRule type="expression" dxfId="803" priority="1544">
      <formula>MOD(ROW(),2)=0</formula>
    </cfRule>
  </conditionalFormatting>
  <conditionalFormatting sqref="AB809:AB813">
    <cfRule type="expression" dxfId="802" priority="1543">
      <formula>MOD(ROW(),2)=0</formula>
    </cfRule>
  </conditionalFormatting>
  <conditionalFormatting sqref="Y808:Y809">
    <cfRule type="expression" dxfId="801" priority="1540">
      <formula>MOD(ROW(),2)=0</formula>
    </cfRule>
  </conditionalFormatting>
  <conditionalFormatting sqref="B822:AD943">
    <cfRule type="expression" dxfId="800" priority="1533">
      <formula>MOD(ROW(),2)=0</formula>
    </cfRule>
  </conditionalFormatting>
  <conditionalFormatting sqref="B945:AD950">
    <cfRule type="expression" dxfId="799" priority="1527">
      <formula>MOD(ROW(),2)=0</formula>
    </cfRule>
  </conditionalFormatting>
  <conditionalFormatting sqref="B952:J981">
    <cfRule type="expression" dxfId="798" priority="1523">
      <formula>MOD(ROW(),2)=0</formula>
    </cfRule>
  </conditionalFormatting>
  <conditionalFormatting sqref="AC952:AC981">
    <cfRule type="expression" dxfId="797" priority="1522">
      <formula>MOD(ROW(),2)=0</formula>
    </cfRule>
  </conditionalFormatting>
  <conditionalFormatting sqref="AD952:AD981">
    <cfRule type="expression" dxfId="796" priority="1521">
      <formula>MOD(ROW(),2)=0</formula>
    </cfRule>
  </conditionalFormatting>
  <conditionalFormatting sqref="W969">
    <cfRule type="expression" dxfId="795" priority="1448">
      <formula>MOD(ROW(),2)=0</formula>
    </cfRule>
  </conditionalFormatting>
  <conditionalFormatting sqref="AB965:AB969">
    <cfRule type="expression" dxfId="794" priority="1449">
      <formula>MOD(ROW(),2)=0</formula>
    </cfRule>
  </conditionalFormatting>
  <conditionalFormatting sqref="K952:AB952 N953:N981">
    <cfRule type="expression" dxfId="793" priority="1483">
      <formula>MOD(ROW(),2)=0</formula>
    </cfRule>
  </conditionalFormatting>
  <conditionalFormatting sqref="K953:M956 O953:AB956">
    <cfRule type="expression" dxfId="792" priority="1482">
      <formula>MOD(ROW(),2)=0</formula>
    </cfRule>
  </conditionalFormatting>
  <conditionalFormatting sqref="W957:AB957">
    <cfRule type="expression" dxfId="791" priority="1481">
      <formula>MOD(ROW(),2)=0</formula>
    </cfRule>
  </conditionalFormatting>
  <conditionalFormatting sqref="K957:M957 O957:V957">
    <cfRule type="expression" dxfId="790" priority="1480">
      <formula>MOD(ROW(),2)=0</formula>
    </cfRule>
  </conditionalFormatting>
  <conditionalFormatting sqref="K970:M970 O970:AB970">
    <cfRule type="expression" dxfId="789" priority="1479">
      <formula>MOD(ROW(),2)=0</formula>
    </cfRule>
  </conditionalFormatting>
  <conditionalFormatting sqref="K971:L974 O971:AB974">
    <cfRule type="expression" dxfId="788" priority="1478">
      <formula>MOD(ROW(),2)=0</formula>
    </cfRule>
  </conditionalFormatting>
  <conditionalFormatting sqref="W975:AB975">
    <cfRule type="expression" dxfId="787" priority="1477">
      <formula>MOD(ROW(),2)=0</formula>
    </cfRule>
  </conditionalFormatting>
  <conditionalFormatting sqref="K975:L975 O975:V975">
    <cfRule type="expression" dxfId="786" priority="1476">
      <formula>MOD(ROW(),2)=0</formula>
    </cfRule>
  </conditionalFormatting>
  <conditionalFormatting sqref="M971:M975">
    <cfRule type="expression" dxfId="785" priority="1475">
      <formula>MOD(ROW(),2)=0</formula>
    </cfRule>
  </conditionalFormatting>
  <conditionalFormatting sqref="W981">
    <cfRule type="expression" dxfId="784" priority="1458">
      <formula>MOD(ROW(),2)=0</formula>
    </cfRule>
  </conditionalFormatting>
  <conditionalFormatting sqref="K958:L958 O958:W958">
    <cfRule type="expression" dxfId="783" priority="1474">
      <formula>MOD(ROW(),2)=0</formula>
    </cfRule>
  </conditionalFormatting>
  <conditionalFormatting sqref="M958">
    <cfRule type="expression" dxfId="782" priority="1473">
      <formula>MOD(ROW(),2)=0</formula>
    </cfRule>
  </conditionalFormatting>
  <conditionalFormatting sqref="X958:AB958">
    <cfRule type="expression" dxfId="781" priority="1472">
      <formula>MOD(ROW(),2)=0</formula>
    </cfRule>
  </conditionalFormatting>
  <conditionalFormatting sqref="K959:L962 O959:W962">
    <cfRule type="expression" dxfId="780" priority="1471">
      <formula>MOD(ROW(),2)=0</formula>
    </cfRule>
  </conditionalFormatting>
  <conditionalFormatting sqref="M959:M962">
    <cfRule type="expression" dxfId="779" priority="1470">
      <formula>MOD(ROW(),2)=0</formula>
    </cfRule>
  </conditionalFormatting>
  <conditionalFormatting sqref="X959:AB962">
    <cfRule type="expression" dxfId="778" priority="1469">
      <formula>MOD(ROW(),2)=0</formula>
    </cfRule>
  </conditionalFormatting>
  <conditionalFormatting sqref="K963:L963 O963:V963">
    <cfRule type="expression" dxfId="777" priority="1468">
      <formula>MOD(ROW(),2)=0</formula>
    </cfRule>
  </conditionalFormatting>
  <conditionalFormatting sqref="M963">
    <cfRule type="expression" dxfId="776" priority="1467">
      <formula>MOD(ROW(),2)=0</formula>
    </cfRule>
  </conditionalFormatting>
  <conditionalFormatting sqref="X963:AB963">
    <cfRule type="expression" dxfId="775" priority="1466">
      <formula>MOD(ROW(),2)=0</formula>
    </cfRule>
  </conditionalFormatting>
  <conditionalFormatting sqref="W963">
    <cfRule type="expression" dxfId="774" priority="1465">
      <formula>MOD(ROW(),2)=0</formula>
    </cfRule>
  </conditionalFormatting>
  <conditionalFormatting sqref="K976:L976 O976:W976">
    <cfRule type="expression" dxfId="773" priority="1464">
      <formula>MOD(ROW(),2)=0</formula>
    </cfRule>
  </conditionalFormatting>
  <conditionalFormatting sqref="K964:L964 O964:W964">
    <cfRule type="expression" dxfId="772" priority="1456">
      <formula>MOD(ROW(),2)=0</formula>
    </cfRule>
  </conditionalFormatting>
  <conditionalFormatting sqref="X976:AB976">
    <cfRule type="expression" dxfId="771" priority="1463">
      <formula>MOD(ROW(),2)=0</formula>
    </cfRule>
  </conditionalFormatting>
  <conditionalFormatting sqref="K977:L980 O977:W980">
    <cfRule type="expression" dxfId="770" priority="1462">
      <formula>MOD(ROW(),2)=0</formula>
    </cfRule>
  </conditionalFormatting>
  <conditionalFormatting sqref="AB964">
    <cfRule type="expression" dxfId="769" priority="1453">
      <formula>MOD(ROW(),2)=0</formula>
    </cfRule>
  </conditionalFormatting>
  <conditionalFormatting sqref="X977:AB980">
    <cfRule type="expression" dxfId="768" priority="1461">
      <formula>MOD(ROW(),2)=0</formula>
    </cfRule>
  </conditionalFormatting>
  <conditionalFormatting sqref="K981:L981 O981:V981">
    <cfRule type="expression" dxfId="767" priority="1460">
      <formula>MOD(ROW(),2)=0</formula>
    </cfRule>
  </conditionalFormatting>
  <conditionalFormatting sqref="X965:AA969">
    <cfRule type="expression" dxfId="766" priority="1450">
      <formula>MOD(ROW(),2)=0</formula>
    </cfRule>
  </conditionalFormatting>
  <conditionalFormatting sqref="X981:AB981">
    <cfRule type="expression" dxfId="765" priority="1459">
      <formula>MOD(ROW(),2)=0</formula>
    </cfRule>
  </conditionalFormatting>
  <conditionalFormatting sqref="M976:M981">
    <cfRule type="expression" dxfId="764" priority="1457">
      <formula>MOD(ROW(),2)=0</formula>
    </cfRule>
  </conditionalFormatting>
  <conditionalFormatting sqref="X964:AA964">
    <cfRule type="expression" dxfId="763" priority="1454">
      <formula>MOD(ROW(),2)=0</formula>
    </cfRule>
  </conditionalFormatting>
  <conditionalFormatting sqref="K965:L969 O965:W968 O969:V969">
    <cfRule type="expression" dxfId="762" priority="1452">
      <formula>MOD(ROW(),2)=0</formula>
    </cfRule>
  </conditionalFormatting>
  <conditionalFormatting sqref="C1110 C1089:S1089 C1090:E1090 C1091:C1094 C1101:G1101 I1101:S1101 C1103:C1106 G1103:G1105 C1107:G1108 I1110:S1110 G1110 D1109:F1111 C1078:S1079 G1090:S1093 Y1089:AD1093 C1096:S1099 Y1096:AD1099 I1103:S1105 Y1103:AD1105 Y1110:AD1110 B1077:AD1077 U1103:W1105 U1081:AD1081 U1078:AD1079 U1110:W1110 U1096:W1099 T1078:T1081 C1081:S1081 C1083:S1086 C1082:M1082 T1083:T1087 U1083:AD1086 T1089:W1093 T1095:T1099 T1101:T1105 U1101:W1101 Y1101:AD1101 C1100 T1107:T1111 U1107:W1108 Y1107:AD1108 I1107:S1108 T1113:T1117 T1119:T1123">
    <cfRule type="expression" dxfId="761" priority="1438">
      <formula>MOD(ROW(),2)=0</formula>
    </cfRule>
  </conditionalFormatting>
  <conditionalFormatting sqref="C1109 I1109:S1109 G1109 Y1109:AD1109 U1109:W1109">
    <cfRule type="expression" dxfId="760" priority="1433">
      <formula>MOD(ROW(),2)=0</formula>
    </cfRule>
  </conditionalFormatting>
  <conditionalFormatting sqref="C1102:G1102 I1102:S1102 D1103:F1105 Y1102:AD1102 U1102:W1102">
    <cfRule type="expression" dxfId="759" priority="1430">
      <formula>MOD(ROW(),2)=0</formula>
    </cfRule>
  </conditionalFormatting>
  <conditionalFormatting sqref="C1095:G1095 I1095:S1095 Y1095:AD1095 U1095:W1095">
    <cfRule type="expression" dxfId="758" priority="1427">
      <formula>MOD(ROW(),2)=0</formula>
    </cfRule>
  </conditionalFormatting>
  <conditionalFormatting sqref="G1087:S1087 Y1087:AD1087 U1087:W1087">
    <cfRule type="expression" dxfId="757" priority="1424">
      <formula>MOD(ROW(),2)=0</formula>
    </cfRule>
  </conditionalFormatting>
  <conditionalFormatting sqref="C1080:D1080 G1080:S1080 Y1080:AD1080 U1080:W1080">
    <cfRule type="expression" dxfId="756" priority="1421">
      <formula>MOD(ROW(),2)=0</formula>
    </cfRule>
  </conditionalFormatting>
  <conditionalFormatting sqref="B1078:B1114">
    <cfRule type="expression" dxfId="755" priority="1418">
      <formula>MOD(ROW(),2)=0</formula>
    </cfRule>
  </conditionalFormatting>
  <conditionalFormatting sqref="B1180:AC1194">
    <cfRule type="expression" dxfId="754" priority="1416">
      <formula>MOD(ROW(),2)=0</formula>
    </cfRule>
  </conditionalFormatting>
  <conditionalFormatting sqref="AD1180:AD1194">
    <cfRule type="expression" dxfId="753" priority="1413">
      <formula>MOD(ROW(),2)=0</formula>
    </cfRule>
  </conditionalFormatting>
  <conditionalFormatting sqref="B1203:AD1239">
    <cfRule type="expression" dxfId="752" priority="1411">
      <formula>MOD(ROW(),2)=0</formula>
    </cfRule>
  </conditionalFormatting>
  <conditionalFormatting sqref="B1241:AC1249">
    <cfRule type="expression" dxfId="751" priority="1410">
      <formula>MOD(ROW(),2)=0</formula>
    </cfRule>
  </conditionalFormatting>
  <conditionalFormatting sqref="AD1241:AD1249">
    <cfRule type="expression" dxfId="750" priority="1407">
      <formula>MOD(ROW(),2)=0</formula>
    </cfRule>
  </conditionalFormatting>
  <conditionalFormatting sqref="B421:Z421 AB421 AC421:AD425 AC426:AC459 B461:AC461 B422:AB459">
    <cfRule type="expression" dxfId="749" priority="1406">
      <formula>MOD(ROW(),2)=0</formula>
    </cfRule>
  </conditionalFormatting>
  <conditionalFormatting sqref="B1250:AD1250">
    <cfRule type="expression" dxfId="748" priority="1403">
      <formula>MOD(ROW(),2)=0</formula>
    </cfRule>
  </conditionalFormatting>
  <conditionalFormatting sqref="B1257:G1257">
    <cfRule type="expression" dxfId="747" priority="1402">
      <formula>MOD(ROW(),2)=0</formula>
    </cfRule>
  </conditionalFormatting>
  <conditionalFormatting sqref="AA1252:AB1255">
    <cfRule type="expression" dxfId="746" priority="1377">
      <formula>MOD(ROW(),2)=0</formula>
    </cfRule>
  </conditionalFormatting>
  <conditionalFormatting sqref="AC1252:AC1255">
    <cfRule type="expression" dxfId="745" priority="1348">
      <formula>MOD(ROW(),2)=0</formula>
    </cfRule>
  </conditionalFormatting>
  <conditionalFormatting sqref="AD1252:AD1255">
    <cfRule type="expression" dxfId="744" priority="1347">
      <formula>MOD(ROW(),2)=0</formula>
    </cfRule>
  </conditionalFormatting>
  <conditionalFormatting sqref="B1281:AC1283">
    <cfRule type="expression" dxfId="743" priority="1339">
      <formula>MOD(ROW(),2)=0</formula>
    </cfRule>
  </conditionalFormatting>
  <conditionalFormatting sqref="AD1281:AD1283">
    <cfRule type="expression" dxfId="742" priority="1337">
      <formula>MOD(ROW(),2)=0</formula>
    </cfRule>
  </conditionalFormatting>
  <conditionalFormatting sqref="B1285:AC1291">
    <cfRule type="expression" dxfId="741" priority="1336">
      <formula>MOD(ROW(),2)=0</formula>
    </cfRule>
  </conditionalFormatting>
  <conditionalFormatting sqref="AD1285:AD1287">
    <cfRule type="expression" dxfId="740" priority="1334">
      <formula>MOD(ROW(),2)=0</formula>
    </cfRule>
  </conditionalFormatting>
  <conditionalFormatting sqref="AD1288:AD1291">
    <cfRule type="expression" dxfId="739" priority="1333">
      <formula>MOD(ROW(),2)=0</formula>
    </cfRule>
  </conditionalFormatting>
  <conditionalFormatting sqref="B1293:AC1296">
    <cfRule type="expression" dxfId="738" priority="1332">
      <formula>MOD(ROW(),2)=0</formula>
    </cfRule>
  </conditionalFormatting>
  <conditionalFormatting sqref="AD1293 AD1296">
    <cfRule type="expression" dxfId="737" priority="1330">
      <formula>MOD(ROW(),2)=0</formula>
    </cfRule>
  </conditionalFormatting>
  <conditionalFormatting sqref="AD1294:AD1295">
    <cfRule type="expression" dxfId="736" priority="1329">
      <formula>MOD(ROW(),2)=0</formula>
    </cfRule>
  </conditionalFormatting>
  <conditionalFormatting sqref="B1298:AC1298">
    <cfRule type="expression" dxfId="735" priority="1328">
      <formula>MOD(ROW(),2)=0</formula>
    </cfRule>
  </conditionalFormatting>
  <conditionalFormatting sqref="AD1298">
    <cfRule type="expression" dxfId="734" priority="1326">
      <formula>MOD(ROW(),2)=0</formula>
    </cfRule>
  </conditionalFormatting>
  <conditionalFormatting sqref="AD1299">
    <cfRule type="expression" dxfId="733" priority="1323">
      <formula>MOD(ROW(),2)=0</formula>
    </cfRule>
  </conditionalFormatting>
  <conditionalFormatting sqref="B1299:AC1299">
    <cfRule type="expression" dxfId="732" priority="1325">
      <formula>MOD(ROW(),2)=0</formula>
    </cfRule>
  </conditionalFormatting>
  <conditionalFormatting sqref="B1301:AC1301 B1311:Q1311 AC1302:AC1311 B1302:Q1309 S1302:AB1309 S1311:AB1311">
    <cfRule type="expression" dxfId="731" priority="1316">
      <formula>MOD(ROW(),2)=0</formula>
    </cfRule>
  </conditionalFormatting>
  <conditionalFormatting sqref="B1310:Q1310 V1310:AC1310 S1310:T1310">
    <cfRule type="expression" dxfId="730" priority="1315">
      <formula>MOD(ROW(),2)=0</formula>
    </cfRule>
  </conditionalFormatting>
  <conditionalFormatting sqref="U1310">
    <cfRule type="expression" dxfId="729" priority="1313">
      <formula>MOD(ROW(),2)=0</formula>
    </cfRule>
  </conditionalFormatting>
  <conditionalFormatting sqref="AD1311">
    <cfRule type="expression" dxfId="728" priority="1311">
      <formula>MOD(ROW(),2)=0</formula>
    </cfRule>
  </conditionalFormatting>
  <conditionalFormatting sqref="B1312:K1312 U1312 M1312:Q1312 X1312:Z1312 S1312 AB1312:AC1312">
    <cfRule type="expression" dxfId="727" priority="1310">
      <formula>MOD(ROW(),2)=0</formula>
    </cfRule>
  </conditionalFormatting>
  <conditionalFormatting sqref="W1312">
    <cfRule type="expression" dxfId="726" priority="1309">
      <formula>MOD(ROW(),2)=0</formula>
    </cfRule>
  </conditionalFormatting>
  <conditionalFormatting sqref="V1312">
    <cfRule type="expression" dxfId="725" priority="1308">
      <formula>MOD(ROW(),2)=0</formula>
    </cfRule>
  </conditionalFormatting>
  <conditionalFormatting sqref="T1312">
    <cfRule type="expression" dxfId="724" priority="1307">
      <formula>MOD(ROW(),2)=0</formula>
    </cfRule>
  </conditionalFormatting>
  <conditionalFormatting sqref="L1312">
    <cfRule type="expression" dxfId="723" priority="1306">
      <formula>MOD(ROW(),2)=0</formula>
    </cfRule>
  </conditionalFormatting>
  <conditionalFormatting sqref="R1302:R1312">
    <cfRule type="expression" dxfId="722" priority="1301">
      <formula>MOD(ROW(),2)=0</formula>
    </cfRule>
  </conditionalFormatting>
  <conditionalFormatting sqref="AA1312">
    <cfRule type="expression" dxfId="721" priority="1300">
      <formula>MOD(ROW(),2)=0</formula>
    </cfRule>
  </conditionalFormatting>
  <conditionalFormatting sqref="AD1312">
    <cfRule type="expression" dxfId="720" priority="1298">
      <formula>MOD(ROW(),2)=0</formula>
    </cfRule>
  </conditionalFormatting>
  <conditionalFormatting sqref="AD1301:AD1310">
    <cfRule type="expression" dxfId="719" priority="1299">
      <formula>MOD(ROW(),2)=0</formula>
    </cfRule>
  </conditionalFormatting>
  <conditionalFormatting sqref="B1313:AD1313">
    <cfRule type="expression" dxfId="718" priority="1297">
      <formula>MOD(ROW(),2)=0</formula>
    </cfRule>
  </conditionalFormatting>
  <conditionalFormatting sqref="B1315:AC1318">
    <cfRule type="expression" dxfId="717" priority="1296">
      <formula>MOD(ROW(),2)=0</formula>
    </cfRule>
  </conditionalFormatting>
  <conditionalFormatting sqref="AD1315:AD1318">
    <cfRule type="expression" dxfId="716" priority="1293">
      <formula>MOD(ROW(),2)=0</formula>
    </cfRule>
  </conditionalFormatting>
  <conditionalFormatting sqref="B1323:AD1327 B1320:J1321 S1320:S1321 X1320:X1321 AA1320:AD1321">
    <cfRule type="expression" dxfId="715" priority="1292">
      <formula>MOD(ROW(),2)=0</formula>
    </cfRule>
  </conditionalFormatting>
  <conditionalFormatting sqref="U1328 M1328:S1328 X1328:AD1328 B1328:K1328 X1329:AC1330 B1329:I1330 O1329:O1330">
    <cfRule type="expression" dxfId="714" priority="1291">
      <formula>MOD(ROW(),2)=0</formula>
    </cfRule>
  </conditionalFormatting>
  <conditionalFormatting sqref="W1328">
    <cfRule type="expression" dxfId="713" priority="1290">
      <formula>MOD(ROW(),2)=0</formula>
    </cfRule>
  </conditionalFormatting>
  <conditionalFormatting sqref="V1328">
    <cfRule type="expression" dxfId="712" priority="1289">
      <formula>MOD(ROW(),2)=0</formula>
    </cfRule>
  </conditionalFormatting>
  <conditionalFormatting sqref="T1328">
    <cfRule type="expression" dxfId="711" priority="1288">
      <formula>MOD(ROW(),2)=0</formula>
    </cfRule>
  </conditionalFormatting>
  <conditionalFormatting sqref="L1328">
    <cfRule type="expression" dxfId="710" priority="1287">
      <formula>MOD(ROW(),2)=0</formula>
    </cfRule>
  </conditionalFormatting>
  <conditionalFormatting sqref="AD1329:AD1330">
    <cfRule type="expression" dxfId="709" priority="1283">
      <formula>MOD(ROW(),2)=0</formula>
    </cfRule>
  </conditionalFormatting>
  <conditionalFormatting sqref="W1329:W1330">
    <cfRule type="expression" dxfId="708" priority="1281">
      <formula>MOD(ROW(),2)=0</formula>
    </cfRule>
  </conditionalFormatting>
  <conditionalFormatting sqref="M1329:N1330 J1329:K1330">
    <cfRule type="expression" dxfId="707" priority="1280">
      <formula>MOD(ROW(),2)=0</formula>
    </cfRule>
  </conditionalFormatting>
  <conditionalFormatting sqref="L1329:L1330">
    <cfRule type="expression" dxfId="706" priority="1279">
      <formula>MOD(ROW(),2)=0</formula>
    </cfRule>
  </conditionalFormatting>
  <conditionalFormatting sqref="U1329:U1330 P1329:S1330">
    <cfRule type="expression" dxfId="705" priority="1278">
      <formula>MOD(ROW(),2)=0</formula>
    </cfRule>
  </conditionalFormatting>
  <conditionalFormatting sqref="T1329:T1330">
    <cfRule type="expression" dxfId="704" priority="1277">
      <formula>MOD(ROW(),2)=0</formula>
    </cfRule>
  </conditionalFormatting>
  <conditionalFormatting sqref="V1329:V1330">
    <cfRule type="expression" dxfId="703" priority="1276">
      <formula>MOD(ROW(),2)=0</formula>
    </cfRule>
  </conditionalFormatting>
  <conditionalFormatting sqref="B1331:AD1331">
    <cfRule type="expression" dxfId="702" priority="1275">
      <formula>MOD(ROW(),2)=0</formula>
    </cfRule>
  </conditionalFormatting>
  <conditionalFormatting sqref="B1333:AC1344">
    <cfRule type="expression" dxfId="701" priority="1274">
      <formula>MOD(ROW(),2)=0</formula>
    </cfRule>
  </conditionalFormatting>
  <conditionalFormatting sqref="AD1333:AD1344">
    <cfRule type="expression" dxfId="700" priority="1271">
      <formula>MOD(ROW(),2)=0</formula>
    </cfRule>
  </conditionalFormatting>
  <conditionalFormatting sqref="B1345:AC1345 B1366:AC1376 B1381:G1381 I1381:K1381 M1381 P1381 R1381:W1381 Y1381:AA1381 AC1381">
    <cfRule type="expression" dxfId="699" priority="1270">
      <formula>MOD(ROW(),2)=0</formula>
    </cfRule>
  </conditionalFormatting>
  <conditionalFormatting sqref="B1346:AB1346 B1347:L1349 N1347:AB1349">
    <cfRule type="expression" dxfId="698" priority="1267">
      <formula>MOD(ROW(),2)=0</formula>
    </cfRule>
  </conditionalFormatting>
  <conditionalFormatting sqref="AC1346">
    <cfRule type="expression" dxfId="697" priority="1266">
      <formula>MOD(ROW(),2)=0</formula>
    </cfRule>
  </conditionalFormatting>
  <conditionalFormatting sqref="AC1347:AC1349">
    <cfRule type="expression" dxfId="696" priority="1265">
      <formula>MOD(ROW(),2)=0</formula>
    </cfRule>
  </conditionalFormatting>
  <conditionalFormatting sqref="F1350:F1357">
    <cfRule type="expression" dxfId="695" priority="1260">
      <formula>MOD(ROW(),2)=0</formula>
    </cfRule>
  </conditionalFormatting>
  <conditionalFormatting sqref="B1350:E1357 G1350:L1357 N1350:AC1357">
    <cfRule type="expression" dxfId="694" priority="1262">
      <formula>MOD(ROW(),2)=0</formula>
    </cfRule>
  </conditionalFormatting>
  <conditionalFormatting sqref="F1358:F1365">
    <cfRule type="expression" dxfId="693" priority="1255">
      <formula>MOD(ROW(),2)=0</formula>
    </cfRule>
  </conditionalFormatting>
  <conditionalFormatting sqref="B1358:D1365 G1358:L1365 N1358:AC1365">
    <cfRule type="expression" dxfId="692" priority="1259">
      <formula>MOD(ROW(),2)=0</formula>
    </cfRule>
  </conditionalFormatting>
  <conditionalFormatting sqref="E1358:E1361">
    <cfRule type="expression" dxfId="691" priority="1257">
      <formula>MOD(ROW(),2)=0</formula>
    </cfRule>
  </conditionalFormatting>
  <conditionalFormatting sqref="E1362:E1365">
    <cfRule type="expression" dxfId="690" priority="1256">
      <formula>MOD(ROW(),2)=0</formula>
    </cfRule>
  </conditionalFormatting>
  <conditionalFormatting sqref="M1347:M1365">
    <cfRule type="expression" dxfId="689" priority="1252">
      <formula>MOD(ROW(),2)=0</formula>
    </cfRule>
  </conditionalFormatting>
  <conditionalFormatting sqref="AD1345:AD1365">
    <cfRule type="expression" dxfId="688" priority="1249">
      <formula>MOD(ROW(),2)=0</formula>
    </cfRule>
  </conditionalFormatting>
  <conditionalFormatting sqref="AD1366:AD1376 AD1381">
    <cfRule type="expression" dxfId="687" priority="1248">
      <formula>MOD(ROW(),2)=0</formula>
    </cfRule>
  </conditionalFormatting>
  <conditionalFormatting sqref="B1394:AC1423">
    <cfRule type="expression" dxfId="686" priority="1247">
      <formula>MOD(ROW(),2)=0</formula>
    </cfRule>
  </conditionalFormatting>
  <conditionalFormatting sqref="AD1394:AD1425">
    <cfRule type="expression" dxfId="685" priority="1244">
      <formula>MOD(ROW(),2)=0</formula>
    </cfRule>
  </conditionalFormatting>
  <conditionalFormatting sqref="B1426:AC1426">
    <cfRule type="expression" dxfId="684" priority="1243">
      <formula>MOD(ROW(),2)=0</formula>
    </cfRule>
  </conditionalFormatting>
  <conditionalFormatting sqref="B1424:AC1425">
    <cfRule type="expression" dxfId="683" priority="1246">
      <formula>MOD(ROW(),2)=0</formula>
    </cfRule>
  </conditionalFormatting>
  <conditionalFormatting sqref="AD1426">
    <cfRule type="expression" dxfId="682" priority="1241">
      <formula>MOD(ROW(),2)=0</formula>
    </cfRule>
  </conditionalFormatting>
  <conditionalFormatting sqref="B1427:AC1433">
    <cfRule type="expression" dxfId="681" priority="1239">
      <formula>MOD(ROW(),2)=0</formula>
    </cfRule>
  </conditionalFormatting>
  <conditionalFormatting sqref="B1434:AC1434">
    <cfRule type="expression" dxfId="680" priority="1237">
      <formula>MOD(ROW(),2)=0</formula>
    </cfRule>
  </conditionalFormatting>
  <conditionalFormatting sqref="AD1427:AD1434">
    <cfRule type="expression" dxfId="679" priority="1235">
      <formula>MOD(ROW(),2)=0</formula>
    </cfRule>
  </conditionalFormatting>
  <conditionalFormatting sqref="B1435:AD1452">
    <cfRule type="expression" dxfId="678" priority="1233">
      <formula>MOD(ROW(),2)=0</formula>
    </cfRule>
  </conditionalFormatting>
  <conditionalFormatting sqref="B1456:AD1482 AD1483:AD1571">
    <cfRule type="expression" dxfId="677" priority="1231">
      <formula>MOD(ROW(),2)=0</formula>
    </cfRule>
  </conditionalFormatting>
  <conditionalFormatting sqref="B1483:AC1485">
    <cfRule type="expression" dxfId="676" priority="1230">
      <formula>MOD(ROW(),2)=0</formula>
    </cfRule>
  </conditionalFormatting>
  <conditionalFormatting sqref="B1561:U1571 B1560:AC1560 AC1561:AC1571">
    <cfRule type="expression" dxfId="675" priority="1205">
      <formula>MOD(ROW(),2)=0</formula>
    </cfRule>
  </conditionalFormatting>
  <conditionalFormatting sqref="V1561:V1571 X1561:AB1571">
    <cfRule type="expression" dxfId="674" priority="1204">
      <formula>MOD(ROW(),2)=0</formula>
    </cfRule>
  </conditionalFormatting>
  <conditionalFormatting sqref="B1486:AC1486">
    <cfRule type="expression" dxfId="673" priority="1226">
      <formula>MOD(ROW(),2)=0</formula>
    </cfRule>
  </conditionalFormatting>
  <conditionalFormatting sqref="B396:AC396">
    <cfRule type="expression" dxfId="672" priority="1222">
      <formula>MOD(ROW(),2)=0</formula>
    </cfRule>
  </conditionalFormatting>
  <conditionalFormatting sqref="AD396">
    <cfRule type="expression" dxfId="671" priority="1220">
      <formula>MOD(ROW(),2)=0</formula>
    </cfRule>
  </conditionalFormatting>
  <conditionalFormatting sqref="X1499:AC1504 B1487:W1504">
    <cfRule type="expression" dxfId="670" priority="1219">
      <formula>MOD(ROW(),2)=0</formula>
    </cfRule>
  </conditionalFormatting>
  <conditionalFormatting sqref="X1487:AC1498">
    <cfRule type="expression" dxfId="669" priority="1218">
      <formula>MOD(ROW(),2)=0</formula>
    </cfRule>
  </conditionalFormatting>
  <conditionalFormatting sqref="B1555:AC1559">
    <cfRule type="expression" dxfId="668" priority="1207">
      <formula>MOD(ROW(),2)=0</formula>
    </cfRule>
  </conditionalFormatting>
  <conditionalFormatting sqref="W1561:W1571">
    <cfRule type="expression" dxfId="667" priority="1203">
      <formula>MOD(ROW(),2)=0</formula>
    </cfRule>
  </conditionalFormatting>
  <conditionalFormatting sqref="V404 Y404:Z404 AC404">
    <cfRule type="expression" dxfId="666" priority="1198">
      <formula>MOD(ROW(),2)=0</formula>
    </cfRule>
  </conditionalFormatting>
  <conditionalFormatting sqref="O404:T404">
    <cfRule type="expression" dxfId="665" priority="1197">
      <formula>MOD(ROW(),2)=0</formula>
    </cfRule>
  </conditionalFormatting>
  <conditionalFormatting sqref="W404">
    <cfRule type="expression" dxfId="664" priority="1196">
      <formula>MOD(ROW(),2)=0</formula>
    </cfRule>
  </conditionalFormatting>
  <conditionalFormatting sqref="AA404">
    <cfRule type="expression" dxfId="663" priority="1195">
      <formula>MOD(ROW(),2)=0</formula>
    </cfRule>
  </conditionalFormatting>
  <conditionalFormatting sqref="AB404">
    <cfRule type="expression" dxfId="662" priority="1194">
      <formula>MOD(ROW(),2)=0</formula>
    </cfRule>
  </conditionalFormatting>
  <conditionalFormatting sqref="U404">
    <cfRule type="expression" dxfId="661" priority="1193">
      <formula>MOD(ROW(),2)=0</formula>
    </cfRule>
  </conditionalFormatting>
  <conditionalFormatting sqref="AD404">
    <cfRule type="expression" dxfId="660" priority="1192">
      <formula>MOD(ROW(),2)=0</formula>
    </cfRule>
  </conditionalFormatting>
  <conditionalFormatting sqref="V405 Y405:Z405 AC405">
    <cfRule type="expression" dxfId="659" priority="1185">
      <formula>MOD(ROW(),2)=0</formula>
    </cfRule>
  </conditionalFormatting>
  <conditionalFormatting sqref="O405:T405">
    <cfRule type="expression" dxfId="658" priority="1184">
      <formula>MOD(ROW(),2)=0</formula>
    </cfRule>
  </conditionalFormatting>
  <conditionalFormatting sqref="W405">
    <cfRule type="expression" dxfId="657" priority="1183">
      <formula>MOD(ROW(),2)=0</formula>
    </cfRule>
  </conditionalFormatting>
  <conditionalFormatting sqref="AA405">
    <cfRule type="expression" dxfId="656" priority="1182">
      <formula>MOD(ROW(),2)=0</formula>
    </cfRule>
  </conditionalFormatting>
  <conditionalFormatting sqref="AB405">
    <cfRule type="expression" dxfId="655" priority="1181">
      <formula>MOD(ROW(),2)=0</formula>
    </cfRule>
  </conditionalFormatting>
  <conditionalFormatting sqref="U405">
    <cfRule type="expression" dxfId="654" priority="1180">
      <formula>MOD(ROW(),2)=0</formula>
    </cfRule>
  </conditionalFormatting>
  <conditionalFormatting sqref="V406 Y406:Z406 AC406">
    <cfRule type="expression" dxfId="653" priority="1179">
      <formula>MOD(ROW(),2)=0</formula>
    </cfRule>
  </conditionalFormatting>
  <conditionalFormatting sqref="O406:T406">
    <cfRule type="expression" dxfId="652" priority="1178">
      <formula>MOD(ROW(),2)=0</formula>
    </cfRule>
  </conditionalFormatting>
  <conditionalFormatting sqref="W406">
    <cfRule type="expression" dxfId="651" priority="1177">
      <formula>MOD(ROW(),2)=0</formula>
    </cfRule>
  </conditionalFormatting>
  <conditionalFormatting sqref="AA406">
    <cfRule type="expression" dxfId="650" priority="1176">
      <formula>MOD(ROW(),2)=0</formula>
    </cfRule>
  </conditionalFormatting>
  <conditionalFormatting sqref="AB406">
    <cfRule type="expression" dxfId="649" priority="1175">
      <formula>MOD(ROW(),2)=0</formula>
    </cfRule>
  </conditionalFormatting>
  <conditionalFormatting sqref="U406">
    <cfRule type="expression" dxfId="648" priority="1174">
      <formula>MOD(ROW(),2)=0</formula>
    </cfRule>
  </conditionalFormatting>
  <conditionalFormatting sqref="V407 Y407:Z407 AC407">
    <cfRule type="expression" dxfId="647" priority="1173">
      <formula>MOD(ROW(),2)=0</formula>
    </cfRule>
  </conditionalFormatting>
  <conditionalFormatting sqref="O407:T407">
    <cfRule type="expression" dxfId="646" priority="1172">
      <formula>MOD(ROW(),2)=0</formula>
    </cfRule>
  </conditionalFormatting>
  <conditionalFormatting sqref="W407">
    <cfRule type="expression" dxfId="645" priority="1171">
      <formula>MOD(ROW(),2)=0</formula>
    </cfRule>
  </conditionalFormatting>
  <conditionalFormatting sqref="AA407">
    <cfRule type="expression" dxfId="644" priority="1170">
      <formula>MOD(ROW(),2)=0</formula>
    </cfRule>
  </conditionalFormatting>
  <conditionalFormatting sqref="AB407">
    <cfRule type="expression" dxfId="643" priority="1169">
      <formula>MOD(ROW(),2)=0</formula>
    </cfRule>
  </conditionalFormatting>
  <conditionalFormatting sqref="U407">
    <cfRule type="expression" dxfId="642" priority="1168">
      <formula>MOD(ROW(),2)=0</formula>
    </cfRule>
  </conditionalFormatting>
  <conditionalFormatting sqref="V408 Y408:Z408 AC408">
    <cfRule type="expression" dxfId="641" priority="1167">
      <formula>MOD(ROW(),2)=0</formula>
    </cfRule>
  </conditionalFormatting>
  <conditionalFormatting sqref="O408:T408">
    <cfRule type="expression" dxfId="640" priority="1166">
      <formula>MOD(ROW(),2)=0</formula>
    </cfRule>
  </conditionalFormatting>
  <conditionalFormatting sqref="W408">
    <cfRule type="expression" dxfId="639" priority="1165">
      <formula>MOD(ROW(),2)=0</formula>
    </cfRule>
  </conditionalFormatting>
  <conditionalFormatting sqref="AA408">
    <cfRule type="expression" dxfId="638" priority="1164">
      <formula>MOD(ROW(),2)=0</formula>
    </cfRule>
  </conditionalFormatting>
  <conditionalFormatting sqref="AB408">
    <cfRule type="expression" dxfId="637" priority="1163">
      <formula>MOD(ROW(),2)=0</formula>
    </cfRule>
  </conditionalFormatting>
  <conditionalFormatting sqref="U408">
    <cfRule type="expression" dxfId="636" priority="1162">
      <formula>MOD(ROW(),2)=0</formula>
    </cfRule>
  </conditionalFormatting>
  <conditionalFormatting sqref="V409 Y409:Z409 AC409">
    <cfRule type="expression" dxfId="635" priority="1161">
      <formula>MOD(ROW(),2)=0</formula>
    </cfRule>
  </conditionalFormatting>
  <conditionalFormatting sqref="O409:T409">
    <cfRule type="expression" dxfId="634" priority="1160">
      <formula>MOD(ROW(),2)=0</formula>
    </cfRule>
  </conditionalFormatting>
  <conditionalFormatting sqref="W409">
    <cfRule type="expression" dxfId="633" priority="1159">
      <formula>MOD(ROW(),2)=0</formula>
    </cfRule>
  </conditionalFormatting>
  <conditionalFormatting sqref="AA409">
    <cfRule type="expression" dxfId="632" priority="1158">
      <formula>MOD(ROW(),2)=0</formula>
    </cfRule>
  </conditionalFormatting>
  <conditionalFormatting sqref="AB409">
    <cfRule type="expression" dxfId="631" priority="1157">
      <formula>MOD(ROW(),2)=0</formula>
    </cfRule>
  </conditionalFormatting>
  <conditionalFormatting sqref="U409">
    <cfRule type="expression" dxfId="630" priority="1156">
      <formula>MOD(ROW(),2)=0</formula>
    </cfRule>
  </conditionalFormatting>
  <conditionalFormatting sqref="V410 Y410:Z410 AC410">
    <cfRule type="expression" dxfId="629" priority="1155">
      <formula>MOD(ROW(),2)=0</formula>
    </cfRule>
  </conditionalFormatting>
  <conditionalFormatting sqref="O410:T410">
    <cfRule type="expression" dxfId="628" priority="1154">
      <formula>MOD(ROW(),2)=0</formula>
    </cfRule>
  </conditionalFormatting>
  <conditionalFormatting sqref="W410">
    <cfRule type="expression" dxfId="627" priority="1153">
      <formula>MOD(ROW(),2)=0</formula>
    </cfRule>
  </conditionalFormatting>
  <conditionalFormatting sqref="AA410">
    <cfRule type="expression" dxfId="626" priority="1152">
      <formula>MOD(ROW(),2)=0</formula>
    </cfRule>
  </conditionalFormatting>
  <conditionalFormatting sqref="AB410">
    <cfRule type="expression" dxfId="625" priority="1151">
      <formula>MOD(ROW(),2)=0</formula>
    </cfRule>
  </conditionalFormatting>
  <conditionalFormatting sqref="U410">
    <cfRule type="expression" dxfId="624" priority="1150">
      <formula>MOD(ROW(),2)=0</formula>
    </cfRule>
  </conditionalFormatting>
  <conditionalFormatting sqref="V412 Y412:Z412 AC412">
    <cfRule type="expression" dxfId="623" priority="1149">
      <formula>MOD(ROW(),2)=0</formula>
    </cfRule>
  </conditionalFormatting>
  <conditionalFormatting sqref="O412:T412">
    <cfRule type="expression" dxfId="622" priority="1148">
      <formula>MOD(ROW(),2)=0</formula>
    </cfRule>
  </conditionalFormatting>
  <conditionalFormatting sqref="W412">
    <cfRule type="expression" dxfId="621" priority="1147">
      <formula>MOD(ROW(),2)=0</formula>
    </cfRule>
  </conditionalFormatting>
  <conditionalFormatting sqref="AA412">
    <cfRule type="expression" dxfId="620" priority="1146">
      <formula>MOD(ROW(),2)=0</formula>
    </cfRule>
  </conditionalFormatting>
  <conditionalFormatting sqref="AB412">
    <cfRule type="expression" dxfId="619" priority="1145">
      <formula>MOD(ROW(),2)=0</formula>
    </cfRule>
  </conditionalFormatting>
  <conditionalFormatting sqref="U412">
    <cfRule type="expression" dxfId="618" priority="1144">
      <formula>MOD(ROW(),2)=0</formula>
    </cfRule>
  </conditionalFormatting>
  <conditionalFormatting sqref="V413 Y413:Z413 AC413">
    <cfRule type="expression" dxfId="617" priority="1143">
      <formula>MOD(ROW(),2)=0</formula>
    </cfRule>
  </conditionalFormatting>
  <conditionalFormatting sqref="O413:T413">
    <cfRule type="expression" dxfId="616" priority="1142">
      <formula>MOD(ROW(),2)=0</formula>
    </cfRule>
  </conditionalFormatting>
  <conditionalFormatting sqref="W413">
    <cfRule type="expression" dxfId="615" priority="1141">
      <formula>MOD(ROW(),2)=0</formula>
    </cfRule>
  </conditionalFormatting>
  <conditionalFormatting sqref="AA413">
    <cfRule type="expression" dxfId="614" priority="1140">
      <formula>MOD(ROW(),2)=0</formula>
    </cfRule>
  </conditionalFormatting>
  <conditionalFormatting sqref="AB413">
    <cfRule type="expression" dxfId="613" priority="1139">
      <formula>MOD(ROW(),2)=0</formula>
    </cfRule>
  </conditionalFormatting>
  <conditionalFormatting sqref="U413">
    <cfRule type="expression" dxfId="612" priority="1138">
      <formula>MOD(ROW(),2)=0</formula>
    </cfRule>
  </conditionalFormatting>
  <conditionalFormatting sqref="V414 Y414:Z414 AC414">
    <cfRule type="expression" dxfId="611" priority="1137">
      <formula>MOD(ROW(),2)=0</formula>
    </cfRule>
  </conditionalFormatting>
  <conditionalFormatting sqref="O414:T414">
    <cfRule type="expression" dxfId="610" priority="1136">
      <formula>MOD(ROW(),2)=0</formula>
    </cfRule>
  </conditionalFormatting>
  <conditionalFormatting sqref="W414">
    <cfRule type="expression" dxfId="609" priority="1135">
      <formula>MOD(ROW(),2)=0</formula>
    </cfRule>
  </conditionalFormatting>
  <conditionalFormatting sqref="AA414">
    <cfRule type="expression" dxfId="608" priority="1134">
      <formula>MOD(ROW(),2)=0</formula>
    </cfRule>
  </conditionalFormatting>
  <conditionalFormatting sqref="AB414">
    <cfRule type="expression" dxfId="607" priority="1133">
      <formula>MOD(ROW(),2)=0</formula>
    </cfRule>
  </conditionalFormatting>
  <conditionalFormatting sqref="U414">
    <cfRule type="expression" dxfId="606" priority="1132">
      <formula>MOD(ROW(),2)=0</formula>
    </cfRule>
  </conditionalFormatting>
  <conditionalFormatting sqref="V415 Y415:Z415 AC415">
    <cfRule type="expression" dxfId="605" priority="1131">
      <formula>MOD(ROW(),2)=0</formula>
    </cfRule>
  </conditionalFormatting>
  <conditionalFormatting sqref="O415:T415">
    <cfRule type="expression" dxfId="604" priority="1130">
      <formula>MOD(ROW(),2)=0</formula>
    </cfRule>
  </conditionalFormatting>
  <conditionalFormatting sqref="W415">
    <cfRule type="expression" dxfId="603" priority="1129">
      <formula>MOD(ROW(),2)=0</formula>
    </cfRule>
  </conditionalFormatting>
  <conditionalFormatting sqref="AA415">
    <cfRule type="expression" dxfId="602" priority="1128">
      <formula>MOD(ROW(),2)=0</formula>
    </cfRule>
  </conditionalFormatting>
  <conditionalFormatting sqref="AB415">
    <cfRule type="expression" dxfId="601" priority="1127">
      <formula>MOD(ROW(),2)=0</formula>
    </cfRule>
  </conditionalFormatting>
  <conditionalFormatting sqref="U415">
    <cfRule type="expression" dxfId="600" priority="1126">
      <formula>MOD(ROW(),2)=0</formula>
    </cfRule>
  </conditionalFormatting>
  <conditionalFormatting sqref="H405:M405">
    <cfRule type="expression" dxfId="599" priority="1125">
      <formula>MOD(ROW(),2)=0</formula>
    </cfRule>
  </conditionalFormatting>
  <conditionalFormatting sqref="N405">
    <cfRule type="expression" dxfId="598" priority="1124">
      <formula>MOD(ROW(),2)=0</formula>
    </cfRule>
  </conditionalFormatting>
  <conditionalFormatting sqref="H406:M406">
    <cfRule type="expression" dxfId="597" priority="1123">
      <formula>MOD(ROW(),2)=0</formula>
    </cfRule>
  </conditionalFormatting>
  <conditionalFormatting sqref="N406">
    <cfRule type="expression" dxfId="596" priority="1122">
      <formula>MOD(ROW(),2)=0</formula>
    </cfRule>
  </conditionalFormatting>
  <conditionalFormatting sqref="H407:M407">
    <cfRule type="expression" dxfId="595" priority="1121">
      <formula>MOD(ROW(),2)=0</formula>
    </cfRule>
  </conditionalFormatting>
  <conditionalFormatting sqref="N407">
    <cfRule type="expression" dxfId="594" priority="1120">
      <formula>MOD(ROW(),2)=0</formula>
    </cfRule>
  </conditionalFormatting>
  <conditionalFormatting sqref="H408:M408">
    <cfRule type="expression" dxfId="593" priority="1119">
      <formula>MOD(ROW(),2)=0</formula>
    </cfRule>
  </conditionalFormatting>
  <conditionalFormatting sqref="N408">
    <cfRule type="expression" dxfId="592" priority="1118">
      <formula>MOD(ROW(),2)=0</formula>
    </cfRule>
  </conditionalFormatting>
  <conditionalFormatting sqref="H409:M409">
    <cfRule type="expression" dxfId="591" priority="1117">
      <formula>MOD(ROW(),2)=0</formula>
    </cfRule>
  </conditionalFormatting>
  <conditionalFormatting sqref="N409">
    <cfRule type="expression" dxfId="590" priority="1116">
      <formula>MOD(ROW(),2)=0</formula>
    </cfRule>
  </conditionalFormatting>
  <conditionalFormatting sqref="H410:M410">
    <cfRule type="expression" dxfId="589" priority="1115">
      <formula>MOD(ROW(),2)=0</formula>
    </cfRule>
  </conditionalFormatting>
  <conditionalFormatting sqref="N410">
    <cfRule type="expression" dxfId="588" priority="1114">
      <formula>MOD(ROW(),2)=0</formula>
    </cfRule>
  </conditionalFormatting>
  <conditionalFormatting sqref="H412:M412">
    <cfRule type="expression" dxfId="587" priority="1113">
      <formula>MOD(ROW(),2)=0</formula>
    </cfRule>
  </conditionalFormatting>
  <conditionalFormatting sqref="N412">
    <cfRule type="expression" dxfId="586" priority="1112">
      <formula>MOD(ROW(),2)=0</formula>
    </cfRule>
  </conditionalFormatting>
  <conditionalFormatting sqref="H413:M413">
    <cfRule type="expression" dxfId="585" priority="1111">
      <formula>MOD(ROW(),2)=0</formula>
    </cfRule>
  </conditionalFormatting>
  <conditionalFormatting sqref="N413">
    <cfRule type="expression" dxfId="584" priority="1110">
      <formula>MOD(ROW(),2)=0</formula>
    </cfRule>
  </conditionalFormatting>
  <conditionalFormatting sqref="H414:M414">
    <cfRule type="expression" dxfId="583" priority="1109">
      <formula>MOD(ROW(),2)=0</formula>
    </cfRule>
  </conditionalFormatting>
  <conditionalFormatting sqref="N414">
    <cfRule type="expression" dxfId="582" priority="1108">
      <formula>MOD(ROW(),2)=0</formula>
    </cfRule>
  </conditionalFormatting>
  <conditionalFormatting sqref="H415:M415">
    <cfRule type="expression" dxfId="581" priority="1107">
      <formula>MOD(ROW(),2)=0</formula>
    </cfRule>
  </conditionalFormatting>
  <conditionalFormatting sqref="N415">
    <cfRule type="expression" dxfId="580" priority="1106">
      <formula>MOD(ROW(),2)=0</formula>
    </cfRule>
  </conditionalFormatting>
  <conditionalFormatting sqref="B404">
    <cfRule type="expression" dxfId="579" priority="1105">
      <formula>MOD(ROW(),2)=0</formula>
    </cfRule>
  </conditionalFormatting>
  <conditionalFormatting sqref="E1080">
    <cfRule type="expression" dxfId="578" priority="1104">
      <formula>MOD(ROW(),2)=0</formula>
    </cfRule>
  </conditionalFormatting>
  <conditionalFormatting sqref="F1080">
    <cfRule type="expression" dxfId="577" priority="1103">
      <formula>MOD(ROW(),2)=0</formula>
    </cfRule>
  </conditionalFormatting>
  <conditionalFormatting sqref="C1087:C1088">
    <cfRule type="expression" dxfId="576" priority="1102">
      <formula>MOD(ROW(),2)=0</formula>
    </cfRule>
  </conditionalFormatting>
  <conditionalFormatting sqref="D1087:F1087">
    <cfRule type="expression" dxfId="575" priority="1101">
      <formula>MOD(ROW(),2)=0</formula>
    </cfRule>
  </conditionalFormatting>
  <conditionalFormatting sqref="H1093">
    <cfRule type="expression" dxfId="574" priority="1100">
      <formula>MOD(ROW(),2)=0</formula>
    </cfRule>
  </conditionalFormatting>
  <conditionalFormatting sqref="F1090">
    <cfRule type="expression" dxfId="573" priority="1099">
      <formula>MOD(ROW(),2)=0</formula>
    </cfRule>
  </conditionalFormatting>
  <conditionalFormatting sqref="D1091:E1091">
    <cfRule type="expression" dxfId="572" priority="1098">
      <formula>MOD(ROW(),2)=0</formula>
    </cfRule>
  </conditionalFormatting>
  <conditionalFormatting sqref="F1091">
    <cfRule type="expression" dxfId="571" priority="1097">
      <formula>MOD(ROW(),2)=0</formula>
    </cfRule>
  </conditionalFormatting>
  <conditionalFormatting sqref="D1092:E1092">
    <cfRule type="expression" dxfId="570" priority="1096">
      <formula>MOD(ROW(),2)=0</formula>
    </cfRule>
  </conditionalFormatting>
  <conditionalFormatting sqref="F1092">
    <cfRule type="expression" dxfId="569" priority="1095">
      <formula>MOD(ROW(),2)=0</formula>
    </cfRule>
  </conditionalFormatting>
  <conditionalFormatting sqref="D1093:E1093">
    <cfRule type="expression" dxfId="568" priority="1094">
      <formula>MOD(ROW(),2)=0</formula>
    </cfRule>
  </conditionalFormatting>
  <conditionalFormatting sqref="F1093">
    <cfRule type="expression" dxfId="567" priority="1093">
      <formula>MOD(ROW(),2)=0</formula>
    </cfRule>
  </conditionalFormatting>
  <conditionalFormatting sqref="H1095">
    <cfRule type="expression" dxfId="566" priority="1092">
      <formula>MOD(ROW(),2)=0</formula>
    </cfRule>
  </conditionalFormatting>
  <conditionalFormatting sqref="H1099">
    <cfRule type="expression" dxfId="565" priority="1091">
      <formula>MOD(ROW(),2)=0</formula>
    </cfRule>
  </conditionalFormatting>
  <conditionalFormatting sqref="H1101">
    <cfRule type="expression" dxfId="564" priority="1090">
      <formula>MOD(ROW(),2)=0</formula>
    </cfRule>
  </conditionalFormatting>
  <conditionalFormatting sqref="H1102:H1105">
    <cfRule type="expression" dxfId="563" priority="1089">
      <formula>MOD(ROW(),2)=0</formula>
    </cfRule>
  </conditionalFormatting>
  <conditionalFormatting sqref="H1105">
    <cfRule type="expression" dxfId="562" priority="1088">
      <formula>MOD(ROW(),2)=0</formula>
    </cfRule>
  </conditionalFormatting>
  <conditionalFormatting sqref="H1107">
    <cfRule type="expression" dxfId="561" priority="1087">
      <formula>MOD(ROW(),2)=0</formula>
    </cfRule>
  </conditionalFormatting>
  <conditionalFormatting sqref="H1108:H1110">
    <cfRule type="expression" dxfId="560" priority="1086">
      <formula>MOD(ROW(),2)=0</formula>
    </cfRule>
  </conditionalFormatting>
  <conditionalFormatting sqref="I1111:S1111 C1111:C1112 G1111 Y1111:AD1111 U1111:W1111">
    <cfRule type="expression" dxfId="559" priority="1084">
      <formula>MOD(ROW(),2)=0</formula>
    </cfRule>
  </conditionalFormatting>
  <conditionalFormatting sqref="H1111">
    <cfRule type="expression" dxfId="558" priority="1078">
      <formula>MOD(ROW(),2)=0</formula>
    </cfRule>
  </conditionalFormatting>
  <conditionalFormatting sqref="H1111">
    <cfRule type="expression" dxfId="557" priority="1077">
      <formula>MOD(ROW(),2)=0</formula>
    </cfRule>
  </conditionalFormatting>
  <conditionalFormatting sqref="I1113:S1113 Y1113:AD1113 U1113:W1113">
    <cfRule type="expression" dxfId="556" priority="1076">
      <formula>MOD(ROW(),2)=0</formula>
    </cfRule>
  </conditionalFormatting>
  <conditionalFormatting sqref="I1114:S1114 Y1114:AD1114 U1114:W1114">
    <cfRule type="expression" dxfId="555" priority="1069">
      <formula>MOD(ROW(),2)=0</formula>
    </cfRule>
  </conditionalFormatting>
  <conditionalFormatting sqref="I1115:S1115 Y1115:AD1115 U1115:W1115">
    <cfRule type="expression" dxfId="554" priority="1062">
      <formula>MOD(ROW(),2)=0</formula>
    </cfRule>
  </conditionalFormatting>
  <conditionalFormatting sqref="I1116:S1116 Y1116:AD1116 U1116:W1116">
    <cfRule type="expression" dxfId="553" priority="1055">
      <formula>MOD(ROW(),2)=0</formula>
    </cfRule>
  </conditionalFormatting>
  <conditionalFormatting sqref="H1117">
    <cfRule type="expression" dxfId="552" priority="1025">
      <formula>MOD(ROW(),2)=0</formula>
    </cfRule>
  </conditionalFormatting>
  <conditionalFormatting sqref="H1117">
    <cfRule type="expression" dxfId="551" priority="1024">
      <formula>MOD(ROW(),2)=0</formula>
    </cfRule>
  </conditionalFormatting>
  <conditionalFormatting sqref="I1117:S1117 Y1117:AD1117 U1117:W1117">
    <cfRule type="expression" dxfId="550" priority="1048">
      <formula>MOD(ROW(),2)=0</formula>
    </cfRule>
  </conditionalFormatting>
  <conditionalFormatting sqref="H1113">
    <cfRule type="expression" dxfId="549" priority="1027">
      <formula>MOD(ROW(),2)=0</formula>
    </cfRule>
  </conditionalFormatting>
  <conditionalFormatting sqref="H1114:H1116">
    <cfRule type="expression" dxfId="548" priority="1026">
      <formula>MOD(ROW(),2)=0</formula>
    </cfRule>
  </conditionalFormatting>
  <conditionalFormatting sqref="H1119">
    <cfRule type="expression" dxfId="547" priority="1023">
      <formula>MOD(ROW(),2)=0</formula>
    </cfRule>
  </conditionalFormatting>
  <conditionalFormatting sqref="H1120:H1122">
    <cfRule type="expression" dxfId="546" priority="1022">
      <formula>MOD(ROW(),2)=0</formula>
    </cfRule>
  </conditionalFormatting>
  <conditionalFormatting sqref="I1119:S1119 Y1119:AD1119 U1119:W1119">
    <cfRule type="expression" dxfId="545" priority="1019">
      <formula>MOD(ROW(),2)=0</formula>
    </cfRule>
  </conditionalFormatting>
  <conditionalFormatting sqref="I1120:S1120 Y1120:AD1120 U1120:W1120">
    <cfRule type="expression" dxfId="544" priority="1014">
      <formula>MOD(ROW(),2)=0</formula>
    </cfRule>
  </conditionalFormatting>
  <conditionalFormatting sqref="I1121:S1121 Y1121:AD1121 U1121:W1121">
    <cfRule type="expression" dxfId="543" priority="1009">
      <formula>MOD(ROW(),2)=0</formula>
    </cfRule>
  </conditionalFormatting>
  <conditionalFormatting sqref="I1122:S1122 Y1122:AD1122 U1122:W1122">
    <cfRule type="expression" dxfId="542" priority="1004">
      <formula>MOD(ROW(),2)=0</formula>
    </cfRule>
  </conditionalFormatting>
  <conditionalFormatting sqref="H1129">
    <cfRule type="expression" dxfId="541" priority="993">
      <formula>MOD(ROW(),2)=0</formula>
    </cfRule>
  </conditionalFormatting>
  <conditionalFormatting sqref="H1126:H1128">
    <cfRule type="expression" dxfId="540" priority="992">
      <formula>MOD(ROW(),2)=0</formula>
    </cfRule>
  </conditionalFormatting>
  <conditionalFormatting sqref="H1133">
    <cfRule type="expression" dxfId="539" priority="991">
      <formula>MOD(ROW(),2)=0</formula>
    </cfRule>
  </conditionalFormatting>
  <conditionalFormatting sqref="H1130:H1132">
    <cfRule type="expression" dxfId="538" priority="990">
      <formula>MOD(ROW(),2)=0</formula>
    </cfRule>
  </conditionalFormatting>
  <conditionalFormatting sqref="H1137">
    <cfRule type="expression" dxfId="537" priority="989">
      <formula>MOD(ROW(),2)=0</formula>
    </cfRule>
  </conditionalFormatting>
  <conditionalFormatting sqref="H1134:H1136">
    <cfRule type="expression" dxfId="536" priority="988">
      <formula>MOD(ROW(),2)=0</formula>
    </cfRule>
  </conditionalFormatting>
  <conditionalFormatting sqref="H1141">
    <cfRule type="expression" dxfId="535" priority="987">
      <formula>MOD(ROW(),2)=0</formula>
    </cfRule>
  </conditionalFormatting>
  <conditionalFormatting sqref="H1138:H1140">
    <cfRule type="expression" dxfId="534" priority="986">
      <formula>MOD(ROW(),2)=0</formula>
    </cfRule>
  </conditionalFormatting>
  <conditionalFormatting sqref="H1145">
    <cfRule type="expression" dxfId="533" priority="985">
      <formula>MOD(ROW(),2)=0</formula>
    </cfRule>
  </conditionalFormatting>
  <conditionalFormatting sqref="H1142:H1144">
    <cfRule type="expression" dxfId="532" priority="984">
      <formula>MOD(ROW(),2)=0</formula>
    </cfRule>
  </conditionalFormatting>
  <conditionalFormatting sqref="H1149">
    <cfRule type="expression" dxfId="531" priority="983">
      <formula>MOD(ROW(),2)=0</formula>
    </cfRule>
  </conditionalFormatting>
  <conditionalFormatting sqref="H1146:H1148">
    <cfRule type="expression" dxfId="530" priority="982">
      <formula>MOD(ROW(),2)=0</formula>
    </cfRule>
  </conditionalFormatting>
  <conditionalFormatting sqref="H1153">
    <cfRule type="expression" dxfId="529" priority="981">
      <formula>MOD(ROW(),2)=0</formula>
    </cfRule>
  </conditionalFormatting>
  <conditionalFormatting sqref="H1150:H1152">
    <cfRule type="expression" dxfId="528" priority="980">
      <formula>MOD(ROW(),2)=0</formula>
    </cfRule>
  </conditionalFormatting>
  <conditionalFormatting sqref="H1157">
    <cfRule type="expression" dxfId="527" priority="979">
      <formula>MOD(ROW(),2)=0</formula>
    </cfRule>
  </conditionalFormatting>
  <conditionalFormatting sqref="H1154:H1156">
    <cfRule type="expression" dxfId="526" priority="978">
      <formula>MOD(ROW(),2)=0</formula>
    </cfRule>
  </conditionalFormatting>
  <conditionalFormatting sqref="H1161">
    <cfRule type="expression" dxfId="525" priority="977">
      <formula>MOD(ROW(),2)=0</formula>
    </cfRule>
  </conditionalFormatting>
  <conditionalFormatting sqref="H1158:H1160">
    <cfRule type="expression" dxfId="524" priority="976">
      <formula>MOD(ROW(),2)=0</formula>
    </cfRule>
  </conditionalFormatting>
  <conditionalFormatting sqref="H1165">
    <cfRule type="expression" dxfId="523" priority="975">
      <formula>MOD(ROW(),2)=0</formula>
    </cfRule>
  </conditionalFormatting>
  <conditionalFormatting sqref="H1162:H1164">
    <cfRule type="expression" dxfId="522" priority="974">
      <formula>MOD(ROW(),2)=0</formula>
    </cfRule>
  </conditionalFormatting>
  <conditionalFormatting sqref="X404">
    <cfRule type="expression" dxfId="521" priority="973">
      <formula>MOD(ROW(),2)=0</formula>
    </cfRule>
  </conditionalFormatting>
  <conditionalFormatting sqref="X405">
    <cfRule type="expression" dxfId="520" priority="972">
      <formula>MOD(ROW(),2)=0</formula>
    </cfRule>
  </conditionalFormatting>
  <conditionalFormatting sqref="X406">
    <cfRule type="expression" dxfId="519" priority="971">
      <formula>MOD(ROW(),2)=0</formula>
    </cfRule>
  </conditionalFormatting>
  <conditionalFormatting sqref="X407">
    <cfRule type="expression" dxfId="518" priority="970">
      <formula>MOD(ROW(),2)=0</formula>
    </cfRule>
  </conditionalFormatting>
  <conditionalFormatting sqref="X408">
    <cfRule type="expression" dxfId="517" priority="969">
      <formula>MOD(ROW(),2)=0</formula>
    </cfRule>
  </conditionalFormatting>
  <conditionalFormatting sqref="X409">
    <cfRule type="expression" dxfId="516" priority="968">
      <formula>MOD(ROW(),2)=0</formula>
    </cfRule>
  </conditionalFormatting>
  <conditionalFormatting sqref="X410">
    <cfRule type="expression" dxfId="515" priority="967">
      <formula>MOD(ROW(),2)=0</formula>
    </cfRule>
  </conditionalFormatting>
  <conditionalFormatting sqref="X412">
    <cfRule type="expression" dxfId="514" priority="966">
      <formula>MOD(ROW(),2)=0</formula>
    </cfRule>
  </conditionalFormatting>
  <conditionalFormatting sqref="X414">
    <cfRule type="expression" dxfId="513" priority="965">
      <formula>MOD(ROW(),2)=0</formula>
    </cfRule>
  </conditionalFormatting>
  <conditionalFormatting sqref="X415">
    <cfRule type="expression" dxfId="512" priority="964">
      <formula>MOD(ROW(),2)=0</formula>
    </cfRule>
  </conditionalFormatting>
  <conditionalFormatting sqref="X413">
    <cfRule type="expression" dxfId="511" priority="963">
      <formula>MOD(ROW(),2)=0</formula>
    </cfRule>
  </conditionalFormatting>
  <conditionalFormatting sqref="X1080">
    <cfRule type="expression" dxfId="510" priority="957">
      <formula>MOD(ROW(),2)=0</formula>
    </cfRule>
  </conditionalFormatting>
  <conditionalFormatting sqref="X1087">
    <cfRule type="expression" dxfId="509" priority="956">
      <formula>MOD(ROW(),2)=0</formula>
    </cfRule>
  </conditionalFormatting>
  <conditionalFormatting sqref="X1089">
    <cfRule type="expression" dxfId="508" priority="955">
      <formula>MOD(ROW(),2)=0</formula>
    </cfRule>
  </conditionalFormatting>
  <conditionalFormatting sqref="X1090">
    <cfRule type="expression" dxfId="507" priority="954">
      <formula>MOD(ROW(),2)=0</formula>
    </cfRule>
  </conditionalFormatting>
  <conditionalFormatting sqref="X1091">
    <cfRule type="expression" dxfId="506" priority="953">
      <formula>MOD(ROW(),2)=0</formula>
    </cfRule>
  </conditionalFormatting>
  <conditionalFormatting sqref="X1092">
    <cfRule type="expression" dxfId="505" priority="952">
      <formula>MOD(ROW(),2)=0</formula>
    </cfRule>
  </conditionalFormatting>
  <conditionalFormatting sqref="X1093">
    <cfRule type="expression" dxfId="504" priority="951">
      <formula>MOD(ROW(),2)=0</formula>
    </cfRule>
  </conditionalFormatting>
  <conditionalFormatting sqref="X1095">
    <cfRule type="expression" dxfId="503" priority="950">
      <formula>MOD(ROW(),2)=0</formula>
    </cfRule>
  </conditionalFormatting>
  <conditionalFormatting sqref="X1096">
    <cfRule type="expression" dxfId="502" priority="949">
      <formula>MOD(ROW(),2)=0</formula>
    </cfRule>
  </conditionalFormatting>
  <conditionalFormatting sqref="X1097">
    <cfRule type="expression" dxfId="501" priority="948">
      <formula>MOD(ROW(),2)=0</formula>
    </cfRule>
  </conditionalFormatting>
  <conditionalFormatting sqref="X1098">
    <cfRule type="expression" dxfId="500" priority="947">
      <formula>MOD(ROW(),2)=0</formula>
    </cfRule>
  </conditionalFormatting>
  <conditionalFormatting sqref="X1099">
    <cfRule type="expression" dxfId="499" priority="946">
      <formula>MOD(ROW(),2)=0</formula>
    </cfRule>
  </conditionalFormatting>
  <conditionalFormatting sqref="X1101">
    <cfRule type="expression" dxfId="498" priority="945">
      <formula>MOD(ROW(),2)=0</formula>
    </cfRule>
  </conditionalFormatting>
  <conditionalFormatting sqref="X1102">
    <cfRule type="expression" dxfId="497" priority="944">
      <formula>MOD(ROW(),2)=0</formula>
    </cfRule>
  </conditionalFormatting>
  <conditionalFormatting sqref="X1103">
    <cfRule type="expression" dxfId="496" priority="943">
      <formula>MOD(ROW(),2)=0</formula>
    </cfRule>
  </conditionalFormatting>
  <conditionalFormatting sqref="X1104">
    <cfRule type="expression" dxfId="495" priority="942">
      <formula>MOD(ROW(),2)=0</formula>
    </cfRule>
  </conditionalFormatting>
  <conditionalFormatting sqref="X1105">
    <cfRule type="expression" dxfId="494" priority="941">
      <formula>MOD(ROW(),2)=0</formula>
    </cfRule>
  </conditionalFormatting>
  <conditionalFormatting sqref="X1107">
    <cfRule type="expression" dxfId="493" priority="940">
      <formula>MOD(ROW(),2)=0</formula>
    </cfRule>
  </conditionalFormatting>
  <conditionalFormatting sqref="X1108">
    <cfRule type="expression" dxfId="492" priority="939">
      <formula>MOD(ROW(),2)=0</formula>
    </cfRule>
  </conditionalFormatting>
  <conditionalFormatting sqref="X1109">
    <cfRule type="expression" dxfId="491" priority="938">
      <formula>MOD(ROW(),2)=0</formula>
    </cfRule>
  </conditionalFormatting>
  <conditionalFormatting sqref="X1110">
    <cfRule type="expression" dxfId="490" priority="937">
      <formula>MOD(ROW(),2)=0</formula>
    </cfRule>
  </conditionalFormatting>
  <conditionalFormatting sqref="X1111">
    <cfRule type="expression" dxfId="489" priority="936">
      <formula>MOD(ROW(),2)=0</formula>
    </cfRule>
  </conditionalFormatting>
  <conditionalFormatting sqref="X1113">
    <cfRule type="expression" dxfId="488" priority="935">
      <formula>MOD(ROW(),2)=0</formula>
    </cfRule>
  </conditionalFormatting>
  <conditionalFormatting sqref="X1114">
    <cfRule type="expression" dxfId="487" priority="934">
      <formula>MOD(ROW(),2)=0</formula>
    </cfRule>
  </conditionalFormatting>
  <conditionalFormatting sqref="X1115">
    <cfRule type="expression" dxfId="486" priority="933">
      <formula>MOD(ROW(),2)=0</formula>
    </cfRule>
  </conditionalFormatting>
  <conditionalFormatting sqref="X1116">
    <cfRule type="expression" dxfId="485" priority="932">
      <formula>MOD(ROW(),2)=0</formula>
    </cfRule>
  </conditionalFormatting>
  <conditionalFormatting sqref="X1117">
    <cfRule type="expression" dxfId="484" priority="931">
      <formula>MOD(ROW(),2)=0</formula>
    </cfRule>
  </conditionalFormatting>
  <conditionalFormatting sqref="X1119">
    <cfRule type="expression" dxfId="483" priority="930">
      <formula>MOD(ROW(),2)=0</formula>
    </cfRule>
  </conditionalFormatting>
  <conditionalFormatting sqref="X1120">
    <cfRule type="expression" dxfId="482" priority="929">
      <formula>MOD(ROW(),2)=0</formula>
    </cfRule>
  </conditionalFormatting>
  <conditionalFormatting sqref="X1121">
    <cfRule type="expression" dxfId="481" priority="928">
      <formula>MOD(ROW(),2)=0</formula>
    </cfRule>
  </conditionalFormatting>
  <conditionalFormatting sqref="X1122">
    <cfRule type="expression" dxfId="480" priority="927">
      <formula>MOD(ROW(),2)=0</formula>
    </cfRule>
  </conditionalFormatting>
  <conditionalFormatting sqref="X1123">
    <cfRule type="expression" dxfId="479" priority="926">
      <formula>MOD(ROW(),2)=0</formula>
    </cfRule>
  </conditionalFormatting>
  <conditionalFormatting sqref="C1377">
    <cfRule type="expression" dxfId="478" priority="925">
      <formula>MOD(ROW(),2)=0</formula>
    </cfRule>
  </conditionalFormatting>
  <conditionalFormatting sqref="X1377">
    <cfRule type="expression" dxfId="477" priority="917">
      <formula>MOD(ROW(),2)=0</formula>
    </cfRule>
  </conditionalFormatting>
  <conditionalFormatting sqref="Y1377:Z1377">
    <cfRule type="expression" dxfId="476" priority="916">
      <formula>MOD(ROW(),2)=0</formula>
    </cfRule>
  </conditionalFormatting>
  <conditionalFormatting sqref="N1377 V1377:W1377 P1377:R1377 AA1377:AB1377 E1377:L1377">
    <cfRule type="expression" dxfId="475" priority="923">
      <formula>MOD(ROW(),2)=0</formula>
    </cfRule>
  </conditionalFormatting>
  <conditionalFormatting sqref="D1377">
    <cfRule type="expression" dxfId="474" priority="922">
      <formula>MOD(ROW(),2)=0</formula>
    </cfRule>
  </conditionalFormatting>
  <conditionalFormatting sqref="M1377">
    <cfRule type="expression" dxfId="473" priority="921">
      <formula>MOD(ROW(),2)=0</formula>
    </cfRule>
  </conditionalFormatting>
  <conditionalFormatting sqref="O1377">
    <cfRule type="expression" dxfId="472" priority="920">
      <formula>MOD(ROW(),2)=0</formula>
    </cfRule>
  </conditionalFormatting>
  <conditionalFormatting sqref="S1377:T1377">
    <cfRule type="expression" dxfId="471" priority="919">
      <formula>MOD(ROW(),2)=0</formula>
    </cfRule>
  </conditionalFormatting>
  <conditionalFormatting sqref="U1377">
    <cfRule type="expression" dxfId="470" priority="911">
      <formula>MOD(ROW(),2)=0</formula>
    </cfRule>
  </conditionalFormatting>
  <conditionalFormatting sqref="AC1377">
    <cfRule type="expression" dxfId="469" priority="907">
      <formula>MOD(ROW(),2)=0</formula>
    </cfRule>
  </conditionalFormatting>
  <conditionalFormatting sqref="AD1377">
    <cfRule type="expression" dxfId="468" priority="906">
      <formula>MOD(ROW(),2)=0</formula>
    </cfRule>
  </conditionalFormatting>
  <conditionalFormatting sqref="C1378">
    <cfRule type="expression" dxfId="467" priority="903">
      <formula>MOD(ROW(),2)=0</formula>
    </cfRule>
  </conditionalFormatting>
  <conditionalFormatting sqref="X1378">
    <cfRule type="expression" dxfId="466" priority="895">
      <formula>MOD(ROW(),2)=0</formula>
    </cfRule>
  </conditionalFormatting>
  <conditionalFormatting sqref="Y1378:Z1378">
    <cfRule type="expression" dxfId="465" priority="894">
      <formula>MOD(ROW(),2)=0</formula>
    </cfRule>
  </conditionalFormatting>
  <conditionalFormatting sqref="N1378 V1378:W1378 P1378:R1378 AA1378:AB1378 E1378:L1378">
    <cfRule type="expression" dxfId="464" priority="901">
      <formula>MOD(ROW(),2)=0</formula>
    </cfRule>
  </conditionalFormatting>
  <conditionalFormatting sqref="D1378">
    <cfRule type="expression" dxfId="463" priority="900">
      <formula>MOD(ROW(),2)=0</formula>
    </cfRule>
  </conditionalFormatting>
  <conditionalFormatting sqref="M1378">
    <cfRule type="expression" dxfId="462" priority="899">
      <formula>MOD(ROW(),2)=0</formula>
    </cfRule>
  </conditionalFormatting>
  <conditionalFormatting sqref="O1378">
    <cfRule type="expression" dxfId="461" priority="898">
      <formula>MOD(ROW(),2)=0</formula>
    </cfRule>
  </conditionalFormatting>
  <conditionalFormatting sqref="S1378:T1378">
    <cfRule type="expression" dxfId="460" priority="897">
      <formula>MOD(ROW(),2)=0</formula>
    </cfRule>
  </conditionalFormatting>
  <conditionalFormatting sqref="U1378">
    <cfRule type="expression" dxfId="459" priority="889">
      <formula>MOD(ROW(),2)=0</formula>
    </cfRule>
  </conditionalFormatting>
  <conditionalFormatting sqref="AC1378">
    <cfRule type="expression" dxfId="458" priority="885">
      <formula>MOD(ROW(),2)=0</formula>
    </cfRule>
  </conditionalFormatting>
  <conditionalFormatting sqref="AD1378">
    <cfRule type="expression" dxfId="457" priority="884">
      <formula>MOD(ROW(),2)=0</formula>
    </cfRule>
  </conditionalFormatting>
  <conditionalFormatting sqref="C1379:P1379 R1379:AC1379">
    <cfRule type="expression" dxfId="456" priority="881">
      <formula>MOD(ROW(),2)=0</formula>
    </cfRule>
  </conditionalFormatting>
  <conditionalFormatting sqref="AD1379">
    <cfRule type="expression" dxfId="455" priority="878">
      <formula>MOD(ROW(),2)=0</formula>
    </cfRule>
  </conditionalFormatting>
  <conditionalFormatting sqref="Q1379">
    <cfRule type="expression" dxfId="454" priority="872">
      <formula>MOD(ROW(),2)=0</formula>
    </cfRule>
  </conditionalFormatting>
  <conditionalFormatting sqref="C1380:P1380 R1380:AC1380">
    <cfRule type="expression" dxfId="453" priority="871">
      <formula>MOD(ROW(),2)=0</formula>
    </cfRule>
  </conditionalFormatting>
  <conditionalFormatting sqref="AD1380">
    <cfRule type="expression" dxfId="452" priority="868">
      <formula>MOD(ROW(),2)=0</formula>
    </cfRule>
  </conditionalFormatting>
  <conditionalFormatting sqref="Q1380">
    <cfRule type="expression" dxfId="451" priority="862">
      <formula>MOD(ROW(),2)=0</formula>
    </cfRule>
  </conditionalFormatting>
  <conditionalFormatting sqref="H1381">
    <cfRule type="expression" dxfId="450" priority="860">
      <formula>MOD(ROW(),2)=0</formula>
    </cfRule>
  </conditionalFormatting>
  <conditionalFormatting sqref="L1381">
    <cfRule type="expression" dxfId="449" priority="859">
      <formula>MOD(ROW(),2)=0</formula>
    </cfRule>
  </conditionalFormatting>
  <conditionalFormatting sqref="N1381">
    <cfRule type="expression" dxfId="448" priority="858">
      <formula>MOD(ROW(),2)=0</formula>
    </cfRule>
  </conditionalFormatting>
  <conditionalFormatting sqref="O1381">
    <cfRule type="expression" dxfId="447" priority="857">
      <formula>MOD(ROW(),2)=0</formula>
    </cfRule>
  </conditionalFormatting>
  <conditionalFormatting sqref="Q1381">
    <cfRule type="expression" dxfId="446" priority="856">
      <formula>MOD(ROW(),2)=0</formula>
    </cfRule>
  </conditionalFormatting>
  <conditionalFormatting sqref="X1381">
    <cfRule type="expression" dxfId="445" priority="855">
      <formula>MOD(ROW(),2)=0</formula>
    </cfRule>
  </conditionalFormatting>
  <conditionalFormatting sqref="AB1381">
    <cfRule type="expression" dxfId="444" priority="854">
      <formula>MOD(ROW(),2)=0</formula>
    </cfRule>
  </conditionalFormatting>
  <conditionalFormatting sqref="B1382:G1382 I1382:K1382 M1382 P1382 R1382:W1382 Y1382:AA1382 AC1382">
    <cfRule type="expression" dxfId="443" priority="853">
      <formula>MOD(ROW(),2)=0</formula>
    </cfRule>
  </conditionalFormatting>
  <conditionalFormatting sqref="AD1382">
    <cfRule type="expression" dxfId="442" priority="850">
      <formula>MOD(ROW(),2)=0</formula>
    </cfRule>
  </conditionalFormatting>
  <conditionalFormatting sqref="H1382">
    <cfRule type="expression" dxfId="441" priority="849">
      <formula>MOD(ROW(),2)=0</formula>
    </cfRule>
  </conditionalFormatting>
  <conditionalFormatting sqref="L1382">
    <cfRule type="expression" dxfId="440" priority="848">
      <formula>MOD(ROW(),2)=0</formula>
    </cfRule>
  </conditionalFormatting>
  <conditionalFormatting sqref="N1382">
    <cfRule type="expression" dxfId="439" priority="847">
      <formula>MOD(ROW(),2)=0</formula>
    </cfRule>
  </conditionalFormatting>
  <conditionalFormatting sqref="O1382">
    <cfRule type="expression" dxfId="438" priority="846">
      <formula>MOD(ROW(),2)=0</formula>
    </cfRule>
  </conditionalFormatting>
  <conditionalFormatting sqref="Q1382">
    <cfRule type="expression" dxfId="437" priority="845">
      <formula>MOD(ROW(),2)=0</formula>
    </cfRule>
  </conditionalFormatting>
  <conditionalFormatting sqref="X1382">
    <cfRule type="expression" dxfId="436" priority="844">
      <formula>MOD(ROW(),2)=0</formula>
    </cfRule>
  </conditionalFormatting>
  <conditionalFormatting sqref="AB1382">
    <cfRule type="expression" dxfId="435" priority="843">
      <formula>MOD(ROW(),2)=0</formula>
    </cfRule>
  </conditionalFormatting>
  <conditionalFormatting sqref="C1383:P1383 R1383:AC1383">
    <cfRule type="expression" dxfId="434" priority="841">
      <formula>MOD(ROW(),2)=0</formula>
    </cfRule>
  </conditionalFormatting>
  <conditionalFormatting sqref="AD1383">
    <cfRule type="expression" dxfId="433" priority="839">
      <formula>MOD(ROW(),2)=0</formula>
    </cfRule>
  </conditionalFormatting>
  <conditionalFormatting sqref="B1380">
    <cfRule type="expression" dxfId="432" priority="838">
      <formula>MOD(ROW(),2)=0</formula>
    </cfRule>
  </conditionalFormatting>
  <conditionalFormatting sqref="B1383">
    <cfRule type="expression" dxfId="431" priority="837">
      <formula>MOD(ROW(),2)=0</formula>
    </cfRule>
  </conditionalFormatting>
  <conditionalFormatting sqref="Q1383">
    <cfRule type="expression" dxfId="430" priority="836">
      <formula>MOD(ROW(),2)=0</formula>
    </cfRule>
  </conditionalFormatting>
  <conditionalFormatting sqref="C1384:P1384 R1384:AC1384">
    <cfRule type="expression" dxfId="429" priority="835">
      <formula>MOD(ROW(),2)=0</formula>
    </cfRule>
  </conditionalFormatting>
  <conditionalFormatting sqref="AD1384">
    <cfRule type="expression" dxfId="428" priority="833">
      <formula>MOD(ROW(),2)=0</formula>
    </cfRule>
  </conditionalFormatting>
  <conditionalFormatting sqref="B1384">
    <cfRule type="expression" dxfId="427" priority="832">
      <formula>MOD(ROW(),2)=0</formula>
    </cfRule>
  </conditionalFormatting>
  <conditionalFormatting sqref="Q1384">
    <cfRule type="expression" dxfId="426" priority="831">
      <formula>MOD(ROW(),2)=0</formula>
    </cfRule>
  </conditionalFormatting>
  <conditionalFormatting sqref="C1385:N1385 P1385 R1385:AC1385">
    <cfRule type="expression" dxfId="425" priority="830">
      <formula>MOD(ROW(),2)=0</formula>
    </cfRule>
  </conditionalFormatting>
  <conditionalFormatting sqref="AD1385">
    <cfRule type="expression" dxfId="424" priority="827">
      <formula>MOD(ROW(),2)=0</formula>
    </cfRule>
  </conditionalFormatting>
  <conditionalFormatting sqref="O1385">
    <cfRule type="expression" dxfId="423" priority="824">
      <formula>MOD(ROW(),2)=0</formula>
    </cfRule>
  </conditionalFormatting>
  <conditionalFormatting sqref="Q1385">
    <cfRule type="expression" dxfId="422" priority="823">
      <formula>MOD(ROW(),2)=0</formula>
    </cfRule>
  </conditionalFormatting>
  <conditionalFormatting sqref="B1385">
    <cfRule type="expression" dxfId="421" priority="822">
      <formula>MOD(ROW(),2)=0</formula>
    </cfRule>
  </conditionalFormatting>
  <conditionalFormatting sqref="C1386:N1386 P1386 R1386:AC1386">
    <cfRule type="expression" dxfId="420" priority="821">
      <formula>MOD(ROW(),2)=0</formula>
    </cfRule>
  </conditionalFormatting>
  <conditionalFormatting sqref="AD1386">
    <cfRule type="expression" dxfId="419" priority="818">
      <formula>MOD(ROW(),2)=0</formula>
    </cfRule>
  </conditionalFormatting>
  <conditionalFormatting sqref="O1386">
    <cfRule type="expression" dxfId="418" priority="815">
      <formula>MOD(ROW(),2)=0</formula>
    </cfRule>
  </conditionalFormatting>
  <conditionalFormatting sqref="Q1386">
    <cfRule type="expression" dxfId="417" priority="814">
      <formula>MOD(ROW(),2)=0</formula>
    </cfRule>
  </conditionalFormatting>
  <conditionalFormatting sqref="B1386:B1392">
    <cfRule type="expression" dxfId="416" priority="813">
      <formula>MOD(ROW(),2)=0</formula>
    </cfRule>
  </conditionalFormatting>
  <conditionalFormatting sqref="D1387:F1387">
    <cfRule type="expression" dxfId="415" priority="811">
      <formula>MOD(ROW(),2)=0</formula>
    </cfRule>
  </conditionalFormatting>
  <conditionalFormatting sqref="O1387">
    <cfRule type="expression" dxfId="414" priority="810">
      <formula>MOD(ROW(),2)=0</formula>
    </cfRule>
  </conditionalFormatting>
  <conditionalFormatting sqref="Q1387">
    <cfRule type="expression" dxfId="413" priority="809">
      <formula>MOD(ROW(),2)=0</formula>
    </cfRule>
  </conditionalFormatting>
  <conditionalFormatting sqref="D1388:F1388">
    <cfRule type="expression" dxfId="412" priority="807">
      <formula>MOD(ROW(),2)=0</formula>
    </cfRule>
  </conditionalFormatting>
  <conditionalFormatting sqref="O1388">
    <cfRule type="expression" dxfId="411" priority="806">
      <formula>MOD(ROW(),2)=0</formula>
    </cfRule>
  </conditionalFormatting>
  <conditionalFormatting sqref="Q1388">
    <cfRule type="expression" dxfId="410" priority="805">
      <formula>MOD(ROW(),2)=0</formula>
    </cfRule>
  </conditionalFormatting>
  <conditionalFormatting sqref="N1390 V1390:W1390 P1390:R1390 AA1390:AB1390 E1390:L1390">
    <cfRule type="expression" dxfId="409" priority="758">
      <formula>MOD(ROW(),2)=0</formula>
    </cfRule>
  </conditionalFormatting>
  <conditionalFormatting sqref="D1390">
    <cfRule type="expression" dxfId="408" priority="757">
      <formula>MOD(ROW(),2)=0</formula>
    </cfRule>
  </conditionalFormatting>
  <conditionalFormatting sqref="M1390">
    <cfRule type="expression" dxfId="407" priority="756">
      <formula>MOD(ROW(),2)=0</formula>
    </cfRule>
  </conditionalFormatting>
  <conditionalFormatting sqref="S1390:T1390">
    <cfRule type="expression" dxfId="406" priority="754">
      <formula>MOD(ROW(),2)=0</formula>
    </cfRule>
  </conditionalFormatting>
  <conditionalFormatting sqref="X1390">
    <cfRule type="expression" dxfId="405" priority="752">
      <formula>MOD(ROW(),2)=0</formula>
    </cfRule>
  </conditionalFormatting>
  <conditionalFormatting sqref="Y1390:Z1390">
    <cfRule type="expression" dxfId="404" priority="751">
      <formula>MOD(ROW(),2)=0</formula>
    </cfRule>
  </conditionalFormatting>
  <conditionalFormatting sqref="U1390">
    <cfRule type="expression" dxfId="403" priority="746">
      <formula>MOD(ROW(),2)=0</formula>
    </cfRule>
  </conditionalFormatting>
  <conditionalFormatting sqref="AC1390">
    <cfRule type="expression" dxfId="402" priority="742">
      <formula>MOD(ROW(),2)=0</formula>
    </cfRule>
  </conditionalFormatting>
  <conditionalFormatting sqref="AD1390">
    <cfRule type="expression" dxfId="401" priority="741">
      <formula>MOD(ROW(),2)=0</formula>
    </cfRule>
  </conditionalFormatting>
  <conditionalFormatting sqref="C1391:AD1391">
    <cfRule type="expression" dxfId="400" priority="738">
      <formula>MOD(ROW(),2)=0</formula>
    </cfRule>
  </conditionalFormatting>
  <conditionalFormatting sqref="C1392:AD1392">
    <cfRule type="expression" dxfId="399" priority="737">
      <formula>MOD(ROW(),2)=0</formula>
    </cfRule>
  </conditionalFormatting>
  <conditionalFormatting sqref="C1389">
    <cfRule type="expression" dxfId="398" priority="782">
      <formula>MOD(ROW(),2)=0</formula>
    </cfRule>
  </conditionalFormatting>
  <conditionalFormatting sqref="X1389">
    <cfRule type="expression" dxfId="397" priority="774">
      <formula>MOD(ROW(),2)=0</formula>
    </cfRule>
  </conditionalFormatting>
  <conditionalFormatting sqref="Y1389:Z1389">
    <cfRule type="expression" dxfId="396" priority="773">
      <formula>MOD(ROW(),2)=0</formula>
    </cfRule>
  </conditionalFormatting>
  <conditionalFormatting sqref="N1389 V1389:W1389 P1389:R1389 AA1389:AB1389 E1389:L1389">
    <cfRule type="expression" dxfId="395" priority="780">
      <formula>MOD(ROW(),2)=0</formula>
    </cfRule>
  </conditionalFormatting>
  <conditionalFormatting sqref="D1389">
    <cfRule type="expression" dxfId="394" priority="779">
      <formula>MOD(ROW(),2)=0</formula>
    </cfRule>
  </conditionalFormatting>
  <conditionalFormatting sqref="M1389">
    <cfRule type="expression" dxfId="393" priority="778">
      <formula>MOD(ROW(),2)=0</formula>
    </cfRule>
  </conditionalFormatting>
  <conditionalFormatting sqref="S1389:T1389">
    <cfRule type="expression" dxfId="392" priority="776">
      <formula>MOD(ROW(),2)=0</formula>
    </cfRule>
  </conditionalFormatting>
  <conditionalFormatting sqref="U1389">
    <cfRule type="expression" dxfId="391" priority="768">
      <formula>MOD(ROW(),2)=0</formula>
    </cfRule>
  </conditionalFormatting>
  <conditionalFormatting sqref="AC1389">
    <cfRule type="expression" dxfId="390" priority="764">
      <formula>MOD(ROW(),2)=0</formula>
    </cfRule>
  </conditionalFormatting>
  <conditionalFormatting sqref="AD1389">
    <cfRule type="expression" dxfId="389" priority="763">
      <formula>MOD(ROW(),2)=0</formula>
    </cfRule>
  </conditionalFormatting>
  <conditionalFormatting sqref="C1390">
    <cfRule type="expression" dxfId="388" priority="760">
      <formula>MOD(ROW(),2)=0</formula>
    </cfRule>
  </conditionalFormatting>
  <conditionalFormatting sqref="O1389">
    <cfRule type="expression" dxfId="387" priority="736">
      <formula>MOD(ROW(),2)=0</formula>
    </cfRule>
  </conditionalFormatting>
  <conditionalFormatting sqref="O1390">
    <cfRule type="expression" dxfId="386" priority="735">
      <formula>MOD(ROW(),2)=0</formula>
    </cfRule>
  </conditionalFormatting>
  <conditionalFormatting sqref="B1379">
    <cfRule type="expression" dxfId="385" priority="734">
      <formula>MOD(ROW(),2)=0</formula>
    </cfRule>
  </conditionalFormatting>
  <conditionalFormatting sqref="B1378">
    <cfRule type="expression" dxfId="384" priority="733">
      <formula>MOD(ROW(),2)=0</formula>
    </cfRule>
  </conditionalFormatting>
  <conditionalFormatting sqref="B1377">
    <cfRule type="expression" dxfId="383" priority="732">
      <formula>MOD(ROW(),2)=0</formula>
    </cfRule>
  </conditionalFormatting>
  <conditionalFormatting sqref="B1572:AD1595">
    <cfRule type="expression" dxfId="382" priority="731">
      <formula>MOD(ROW(),2)=0</formula>
    </cfRule>
  </conditionalFormatting>
  <conditionalFormatting sqref="V1596:V1599 X1596:Y1599 B1596:M1599 AC1596:AC1599">
    <cfRule type="expression" dxfId="381" priority="669">
      <formula>MOD(ROW(),2)=0</formula>
    </cfRule>
  </conditionalFormatting>
  <conditionalFormatting sqref="N1596:N1599">
    <cfRule type="expression" dxfId="380" priority="668">
      <formula>MOD(ROW(),2)=0</formula>
    </cfRule>
  </conditionalFormatting>
  <conditionalFormatting sqref="O1596:T1599">
    <cfRule type="expression" dxfId="379" priority="667">
      <formula>MOD(ROW(),2)=0</formula>
    </cfRule>
  </conditionalFormatting>
  <conditionalFormatting sqref="W1596:W1599">
    <cfRule type="expression" dxfId="378" priority="666">
      <formula>MOD(ROW(),2)=0</formula>
    </cfRule>
  </conditionalFormatting>
  <conditionalFormatting sqref="AA1596:AA1599">
    <cfRule type="expression" dxfId="377" priority="665">
      <formula>MOD(ROW(),2)=0</formula>
    </cfRule>
  </conditionalFormatting>
  <conditionalFormatting sqref="AB1596:AB1599">
    <cfRule type="expression" dxfId="376" priority="664">
      <formula>MOD(ROW(),2)=0</formula>
    </cfRule>
  </conditionalFormatting>
  <conditionalFormatting sqref="U1596:U1599">
    <cfRule type="expression" dxfId="375" priority="659">
      <formula>MOD(ROW(),2)=0</formula>
    </cfRule>
  </conditionalFormatting>
  <conditionalFormatting sqref="Z1596">
    <cfRule type="expression" dxfId="374" priority="655">
      <formula>MOD(ROW(),2)=0</formula>
    </cfRule>
  </conditionalFormatting>
  <conditionalFormatting sqref="Z1597">
    <cfRule type="expression" dxfId="373" priority="654">
      <formula>MOD(ROW(),2)=0</formula>
    </cfRule>
  </conditionalFormatting>
  <conditionalFormatting sqref="Z1598">
    <cfRule type="expression" dxfId="372" priority="653">
      <formula>MOD(ROW(),2)=0</formula>
    </cfRule>
  </conditionalFormatting>
  <conditionalFormatting sqref="Z1599">
    <cfRule type="expression" dxfId="371" priority="652">
      <formula>MOD(ROW(),2)=0</formula>
    </cfRule>
  </conditionalFormatting>
  <conditionalFormatting sqref="AC1600 X1600:Y1600 V1600 B1600:M1600">
    <cfRule type="expression" dxfId="370" priority="650">
      <formula>MOD(ROW(),2)=0</formula>
    </cfRule>
  </conditionalFormatting>
  <conditionalFormatting sqref="N1600">
    <cfRule type="expression" dxfId="369" priority="649">
      <formula>MOD(ROW(),2)=0</formula>
    </cfRule>
  </conditionalFormatting>
  <conditionalFormatting sqref="O1600:T1600">
    <cfRule type="expression" dxfId="368" priority="648">
      <formula>MOD(ROW(),2)=0</formula>
    </cfRule>
  </conditionalFormatting>
  <conditionalFormatting sqref="W1600">
    <cfRule type="expression" dxfId="367" priority="647">
      <formula>MOD(ROW(),2)=0</formula>
    </cfRule>
  </conditionalFormatting>
  <conditionalFormatting sqref="AA1600">
    <cfRule type="expression" dxfId="366" priority="646">
      <formula>MOD(ROW(),2)=0</formula>
    </cfRule>
  </conditionalFormatting>
  <conditionalFormatting sqref="AB1600">
    <cfRule type="expression" dxfId="365" priority="645">
      <formula>MOD(ROW(),2)=0</formula>
    </cfRule>
  </conditionalFormatting>
  <conditionalFormatting sqref="U1600">
    <cfRule type="expression" dxfId="364" priority="644">
      <formula>MOD(ROW(),2)=0</formula>
    </cfRule>
  </conditionalFormatting>
  <conditionalFormatting sqref="Z1600">
    <cfRule type="expression" dxfId="363" priority="643">
      <formula>MOD(ROW(),2)=0</formula>
    </cfRule>
  </conditionalFormatting>
  <conditionalFormatting sqref="N1082:AD1082">
    <cfRule type="expression" dxfId="362" priority="642">
      <formula>MOD(ROW(),2)=0</formula>
    </cfRule>
  </conditionalFormatting>
  <conditionalFormatting sqref="T1088">
    <cfRule type="expression" dxfId="361" priority="638">
      <formula>MOD(ROW(),2)=0</formula>
    </cfRule>
  </conditionalFormatting>
  <conditionalFormatting sqref="G1088:S1088 Y1088:AD1088 U1088:W1088">
    <cfRule type="expression" dxfId="360" priority="636">
      <formula>MOD(ROW(),2)=0</formula>
    </cfRule>
  </conditionalFormatting>
  <conditionalFormatting sqref="D1088:F1088">
    <cfRule type="expression" dxfId="359" priority="633">
      <formula>MOD(ROW(),2)=0</formula>
    </cfRule>
  </conditionalFormatting>
  <conditionalFormatting sqref="X1088">
    <cfRule type="expression" dxfId="358" priority="632">
      <formula>MOD(ROW(),2)=0</formula>
    </cfRule>
  </conditionalFormatting>
  <conditionalFormatting sqref="Y1094:AD1094 G1094:W1094">
    <cfRule type="expression" dxfId="357" priority="631">
      <formula>MOD(ROW(),2)=0</formula>
    </cfRule>
  </conditionalFormatting>
  <conditionalFormatting sqref="H1094">
    <cfRule type="expression" dxfId="356" priority="627">
      <formula>MOD(ROW(),2)=0</formula>
    </cfRule>
  </conditionalFormatting>
  <conditionalFormatting sqref="D1094:E1094">
    <cfRule type="expression" dxfId="355" priority="626">
      <formula>MOD(ROW(),2)=0</formula>
    </cfRule>
  </conditionalFormatting>
  <conditionalFormatting sqref="F1094">
    <cfRule type="expression" dxfId="354" priority="625">
      <formula>MOD(ROW(),2)=0</formula>
    </cfRule>
  </conditionalFormatting>
  <conditionalFormatting sqref="X1094">
    <cfRule type="expression" dxfId="353" priority="624">
      <formula>MOD(ROW(),2)=0</formula>
    </cfRule>
  </conditionalFormatting>
  <conditionalFormatting sqref="Y1100:AD1100 D1100:W1100">
    <cfRule type="expression" dxfId="352" priority="623">
      <formula>MOD(ROW(),2)=0</formula>
    </cfRule>
  </conditionalFormatting>
  <conditionalFormatting sqref="H1100">
    <cfRule type="expression" dxfId="351" priority="619">
      <formula>MOD(ROW(),2)=0</formula>
    </cfRule>
  </conditionalFormatting>
  <conditionalFormatting sqref="X1100">
    <cfRule type="expression" dxfId="350" priority="618">
      <formula>MOD(ROW(),2)=0</formula>
    </cfRule>
  </conditionalFormatting>
  <conditionalFormatting sqref="G1106 Y1106:AD1106 I1106:W1106">
    <cfRule type="expression" dxfId="349" priority="617">
      <formula>MOD(ROW(),2)=0</formula>
    </cfRule>
  </conditionalFormatting>
  <conditionalFormatting sqref="D1106:F1106">
    <cfRule type="expression" dxfId="348" priority="613">
      <formula>MOD(ROW(),2)=0</formula>
    </cfRule>
  </conditionalFormatting>
  <conditionalFormatting sqref="H1106">
    <cfRule type="expression" dxfId="347" priority="612">
      <formula>MOD(ROW(),2)=0</formula>
    </cfRule>
  </conditionalFormatting>
  <conditionalFormatting sqref="H1106">
    <cfRule type="expression" dxfId="346" priority="611">
      <formula>MOD(ROW(),2)=0</formula>
    </cfRule>
  </conditionalFormatting>
  <conditionalFormatting sqref="X1106">
    <cfRule type="expression" dxfId="345" priority="610">
      <formula>MOD(ROW(),2)=0</formula>
    </cfRule>
  </conditionalFormatting>
  <conditionalFormatting sqref="D1112:F1112 T1112">
    <cfRule type="expression" dxfId="344" priority="609">
      <formula>MOD(ROW(),2)=0</formula>
    </cfRule>
  </conditionalFormatting>
  <conditionalFormatting sqref="I1112:S1112 G1112 Y1112:AD1112 U1112:W1112">
    <cfRule type="expression" dxfId="343" priority="608">
      <formula>MOD(ROW(),2)=0</formula>
    </cfRule>
  </conditionalFormatting>
  <conditionalFormatting sqref="H1112">
    <cfRule type="expression" dxfId="342" priority="604">
      <formula>MOD(ROW(),2)=0</formula>
    </cfRule>
  </conditionalFormatting>
  <conditionalFormatting sqref="H1112">
    <cfRule type="expression" dxfId="341" priority="603">
      <formula>MOD(ROW(),2)=0</formula>
    </cfRule>
  </conditionalFormatting>
  <conditionalFormatting sqref="X1112">
    <cfRule type="expression" dxfId="340" priority="602">
      <formula>MOD(ROW(),2)=0</formula>
    </cfRule>
  </conditionalFormatting>
  <conditionalFormatting sqref="D1118:G1118">
    <cfRule type="expression" dxfId="339" priority="601">
      <formula>MOD(ROW(),2)=0</formula>
    </cfRule>
  </conditionalFormatting>
  <conditionalFormatting sqref="T1118">
    <cfRule type="expression" dxfId="338" priority="600">
      <formula>MOD(ROW(),2)=0</formula>
    </cfRule>
  </conditionalFormatting>
  <conditionalFormatting sqref="H1118">
    <cfRule type="expression" dxfId="337" priority="595">
      <formula>MOD(ROW(),2)=0</formula>
    </cfRule>
  </conditionalFormatting>
  <conditionalFormatting sqref="H1118">
    <cfRule type="expression" dxfId="336" priority="594">
      <formula>MOD(ROW(),2)=0</formula>
    </cfRule>
  </conditionalFormatting>
  <conditionalFormatting sqref="I1118:S1118 Y1118:AD1118 U1118:W1118">
    <cfRule type="expression" dxfId="335" priority="599">
      <formula>MOD(ROW(),2)=0</formula>
    </cfRule>
  </conditionalFormatting>
  <conditionalFormatting sqref="X1118">
    <cfRule type="expression" dxfId="334" priority="593">
      <formula>MOD(ROW(),2)=0</formula>
    </cfRule>
  </conditionalFormatting>
  <conditionalFormatting sqref="Y1124:AD1124 U1124:W1124 D1124:S1124">
    <cfRule type="expression" dxfId="333" priority="592">
      <formula>MOD(ROW(),2)=0</formula>
    </cfRule>
  </conditionalFormatting>
  <conditionalFormatting sqref="T1124">
    <cfRule type="expression" dxfId="332" priority="591">
      <formula>MOD(ROW(),2)=0</formula>
    </cfRule>
  </conditionalFormatting>
  <conditionalFormatting sqref="X1124">
    <cfRule type="expression" dxfId="331" priority="590">
      <formula>MOD(ROW(),2)=0</formula>
    </cfRule>
  </conditionalFormatting>
  <conditionalFormatting sqref="B1601:AC1607">
    <cfRule type="expression" dxfId="330" priority="589">
      <formula>MOD(ROW(),2)=0</formula>
    </cfRule>
  </conditionalFormatting>
  <conditionalFormatting sqref="B1608:AC1611">
    <cfRule type="expression" dxfId="329" priority="587">
      <formula>MOD(ROW(),2)=0</formula>
    </cfRule>
  </conditionalFormatting>
  <conditionalFormatting sqref="B1060:AD1060 B1061 AD1061">
    <cfRule type="expression" dxfId="328" priority="585">
      <formula>MOD(ROW(),2)=0</formula>
    </cfRule>
  </conditionalFormatting>
  <conditionalFormatting sqref="B1062:AD1062">
    <cfRule type="expression" dxfId="327" priority="583">
      <formula>MOD(ROW(),2)=0</formula>
    </cfRule>
  </conditionalFormatting>
  <conditionalFormatting sqref="B1063:AD1063">
    <cfRule type="expression" dxfId="326" priority="581">
      <formula>MOD(ROW(),2)=0</formula>
    </cfRule>
  </conditionalFormatting>
  <conditionalFormatting sqref="B1612:AC1612">
    <cfRule type="expression" dxfId="325" priority="569">
      <formula>MOD(ROW(),2)=0</formula>
    </cfRule>
  </conditionalFormatting>
  <conditionalFormatting sqref="C1061:K1061 U1061 M1061:S1061 X1061:AC1061">
    <cfRule type="expression" dxfId="324" priority="564">
      <formula>MOD(ROW(),2)=0</formula>
    </cfRule>
  </conditionalFormatting>
  <conditionalFormatting sqref="W1061">
    <cfRule type="expression" dxfId="323" priority="563">
      <formula>MOD(ROW(),2)=0</formula>
    </cfRule>
  </conditionalFormatting>
  <conditionalFormatting sqref="V1061">
    <cfRule type="expression" dxfId="322" priority="562">
      <formula>MOD(ROW(),2)=0</formula>
    </cfRule>
  </conditionalFormatting>
  <conditionalFormatting sqref="T1061">
    <cfRule type="expression" dxfId="321" priority="561">
      <formula>MOD(ROW(),2)=0</formula>
    </cfRule>
  </conditionalFormatting>
  <conditionalFormatting sqref="L1061">
    <cfRule type="expression" dxfId="320" priority="560">
      <formula>MOD(ROW(),2)=0</formula>
    </cfRule>
  </conditionalFormatting>
  <conditionalFormatting sqref="B1613:AC1613">
    <cfRule type="expression" dxfId="319" priority="556">
      <formula>MOD(ROW(),2)=0</formula>
    </cfRule>
  </conditionalFormatting>
  <conditionalFormatting sqref="H1257:AC1257">
    <cfRule type="expression" dxfId="318" priority="550">
      <formula>MOD(ROW(),2)=0</formula>
    </cfRule>
  </conditionalFormatting>
  <conditionalFormatting sqref="AD1257">
    <cfRule type="expression" dxfId="317" priority="547">
      <formula>MOD(ROW(),2)=0</formula>
    </cfRule>
  </conditionalFormatting>
  <conditionalFormatting sqref="B1614:AC1614">
    <cfRule type="expression" dxfId="316" priority="544">
      <formula>MOD(ROW(),2)=0</formula>
    </cfRule>
  </conditionalFormatting>
  <conditionalFormatting sqref="B1615:AC1615">
    <cfRule type="expression" dxfId="315" priority="537">
      <formula>MOD(ROW(),2)=0</formula>
    </cfRule>
  </conditionalFormatting>
  <conditionalFormatting sqref="AD1261">
    <cfRule type="expression" dxfId="314" priority="532">
      <formula>MOD(ROW(),2)=0</formula>
    </cfRule>
  </conditionalFormatting>
  <conditionalFormatting sqref="B1616:AC1616">
    <cfRule type="expression" dxfId="313" priority="531">
      <formula>MOD(ROW(),2)=0</formula>
    </cfRule>
  </conditionalFormatting>
  <conditionalFormatting sqref="AD1262">
    <cfRule type="expression" dxfId="312" priority="516">
      <formula>MOD(ROW(),2)=0</formula>
    </cfRule>
  </conditionalFormatting>
  <conditionalFormatting sqref="B1617:AC1617">
    <cfRule type="expression" dxfId="311" priority="515">
      <formula>MOD(ROW(),2)=0</formula>
    </cfRule>
  </conditionalFormatting>
  <conditionalFormatting sqref="H1262:AC1262">
    <cfRule type="expression" dxfId="310" priority="521">
      <formula>MOD(ROW(),2)=0</formula>
    </cfRule>
  </conditionalFormatting>
  <conditionalFormatting sqref="B1619:AC1619">
    <cfRule type="expression" dxfId="309" priority="507">
      <formula>MOD(ROW(),2)=0</formula>
    </cfRule>
  </conditionalFormatting>
  <conditionalFormatting sqref="B1620:AC1623">
    <cfRule type="expression" dxfId="308" priority="504">
      <formula>MOD(ROW(),2)=0</formula>
    </cfRule>
  </conditionalFormatting>
  <conditionalFormatting sqref="B1618:AC1618">
    <cfRule type="expression" dxfId="307" priority="510">
      <formula>MOD(ROW(),2)=0</formula>
    </cfRule>
  </conditionalFormatting>
  <conditionalFormatting sqref="B1624:AC1624">
    <cfRule type="expression" dxfId="306" priority="501">
      <formula>MOD(ROW(),2)=0</formula>
    </cfRule>
  </conditionalFormatting>
  <conditionalFormatting sqref="B1625:AC1627">
    <cfRule type="expression" dxfId="305" priority="500">
      <formula>MOD(ROW(),2)=0</formula>
    </cfRule>
  </conditionalFormatting>
  <conditionalFormatting sqref="B1632:AC1634">
    <cfRule type="expression" dxfId="304" priority="491">
      <formula>MOD(ROW(),2)=0</formula>
    </cfRule>
  </conditionalFormatting>
  <conditionalFormatting sqref="B1628:C1631">
    <cfRule type="expression" dxfId="303" priority="490">
      <formula>MOD(ROW(),2)=0</formula>
    </cfRule>
  </conditionalFormatting>
  <conditionalFormatting sqref="X1631">
    <cfRule type="expression" dxfId="302" priority="465">
      <formula>MOD(ROW(),2)=0</formula>
    </cfRule>
  </conditionalFormatting>
  <conditionalFormatting sqref="Y1630:Z1631">
    <cfRule type="expression" dxfId="301" priority="464">
      <formula>MOD(ROW(),2)=0</formula>
    </cfRule>
  </conditionalFormatting>
  <conditionalFormatting sqref="D1628:L1628 N1628:T1628 V1628:AC1628">
    <cfRule type="expression" dxfId="300" priority="488">
      <formula>MOD(ROW(),2)=0</formula>
    </cfRule>
  </conditionalFormatting>
  <conditionalFormatting sqref="E1629:L1629 N1629:R1629 V1629:AC1629">
    <cfRule type="expression" dxfId="299" priority="484">
      <formula>MOD(ROW(),2)=0</formula>
    </cfRule>
  </conditionalFormatting>
  <conditionalFormatting sqref="E1630:L1630 N1630:R1630 V1630:X1630 AA1630:AC1630">
    <cfRule type="expression" dxfId="298" priority="480">
      <formula>MOD(ROW(),2)=0</formula>
    </cfRule>
  </conditionalFormatting>
  <conditionalFormatting sqref="N1631 V1631:W1631 AA1631:AC1631 P1631:R1631 E1631:L1631">
    <cfRule type="expression" dxfId="297" priority="476">
      <formula>MOD(ROW(),2)=0</formula>
    </cfRule>
  </conditionalFormatting>
  <conditionalFormatting sqref="D1629:D1631">
    <cfRule type="expression" dxfId="296" priority="472">
      <formula>MOD(ROW(),2)=0</formula>
    </cfRule>
  </conditionalFormatting>
  <conditionalFormatting sqref="M1628:M1631">
    <cfRule type="expression" dxfId="295" priority="471">
      <formula>MOD(ROW(),2)=0</formula>
    </cfRule>
  </conditionalFormatting>
  <conditionalFormatting sqref="O1631">
    <cfRule type="expression" dxfId="294" priority="470">
      <formula>MOD(ROW(),2)=0</formula>
    </cfRule>
  </conditionalFormatting>
  <conditionalFormatting sqref="S1629:T1631">
    <cfRule type="expression" dxfId="293" priority="469">
      <formula>MOD(ROW(),2)=0</formula>
    </cfRule>
  </conditionalFormatting>
  <conditionalFormatting sqref="U1628:U1631">
    <cfRule type="expression" dxfId="292" priority="451">
      <formula>MOD(ROW(),2)=0</formula>
    </cfRule>
  </conditionalFormatting>
  <conditionalFormatting sqref="B1635:AC1638">
    <cfRule type="expression" dxfId="291" priority="443">
      <formula>MOD(ROW(),2)=0</formula>
    </cfRule>
  </conditionalFormatting>
  <conditionalFormatting sqref="AD213:AD231">
    <cfRule type="expression" dxfId="290" priority="437">
      <formula>MOD(ROW(),2)=0</formula>
    </cfRule>
  </conditionalFormatting>
  <conditionalFormatting sqref="AD233:AD257">
    <cfRule type="expression" dxfId="289" priority="436">
      <formula>MOD(ROW(),2)=0</formula>
    </cfRule>
  </conditionalFormatting>
  <conditionalFormatting sqref="B259:N283 AA259:AC283 P259:U283">
    <cfRule type="expression" dxfId="288" priority="412">
      <formula>MOD(ROW(),2)=0</formula>
    </cfRule>
  </conditionalFormatting>
  <conditionalFormatting sqref="AD259:AD283">
    <cfRule type="expression" dxfId="287" priority="411">
      <formula>MOD(ROW(),2)=0</formula>
    </cfRule>
  </conditionalFormatting>
  <conditionalFormatting sqref="O260:O283">
    <cfRule type="expression" dxfId="286" priority="410">
      <formula>MOD(ROW(),2)=0</formula>
    </cfRule>
  </conditionalFormatting>
  <conditionalFormatting sqref="O259">
    <cfRule type="expression" dxfId="285" priority="409">
      <formula>MOD(ROW(),2)=0</formula>
    </cfRule>
  </conditionalFormatting>
  <conditionalFormatting sqref="V259:V283">
    <cfRule type="expression" dxfId="284" priority="408">
      <formula>MOD(ROW(),2)=0</formula>
    </cfRule>
  </conditionalFormatting>
  <conditionalFormatting sqref="W259:W283">
    <cfRule type="expression" dxfId="283" priority="407">
      <formula>MOD(ROW(),2)=0</formula>
    </cfRule>
  </conditionalFormatting>
  <conditionalFormatting sqref="X259:X264">
    <cfRule type="expression" dxfId="282" priority="406">
      <formula>MOD(ROW(),2)=0</formula>
    </cfRule>
  </conditionalFormatting>
  <conditionalFormatting sqref="X265 X267 X269">
    <cfRule type="expression" dxfId="281" priority="405">
      <formula>MOD(ROW(),2)=0</formula>
    </cfRule>
  </conditionalFormatting>
  <conditionalFormatting sqref="X266 X268 X270">
    <cfRule type="expression" dxfId="280" priority="404">
      <formula>MOD(ROW(),2)=0</formula>
    </cfRule>
  </conditionalFormatting>
  <conditionalFormatting sqref="X271 X273 X275">
    <cfRule type="expression" dxfId="279" priority="403">
      <formula>MOD(ROW(),2)=0</formula>
    </cfRule>
  </conditionalFormatting>
  <conditionalFormatting sqref="X272 X274 X276">
    <cfRule type="expression" dxfId="278" priority="402">
      <formula>MOD(ROW(),2)=0</formula>
    </cfRule>
  </conditionalFormatting>
  <conditionalFormatting sqref="X277 X279 X281">
    <cfRule type="expression" dxfId="277" priority="401">
      <formula>MOD(ROW(),2)=0</formula>
    </cfRule>
  </conditionalFormatting>
  <conditionalFormatting sqref="X278 X280 X282:X283">
    <cfRule type="expression" dxfId="276" priority="400">
      <formula>MOD(ROW(),2)=0</formula>
    </cfRule>
  </conditionalFormatting>
  <conditionalFormatting sqref="Y259:Z259 Y261:Z261 Y263:Z263">
    <cfRule type="expression" dxfId="275" priority="399">
      <formula>MOD(ROW(),2)=0</formula>
    </cfRule>
  </conditionalFormatting>
  <conditionalFormatting sqref="Y260:Z260 Y262:Z262 Y264:Z264">
    <cfRule type="expression" dxfId="274" priority="398">
      <formula>MOD(ROW(),2)=0</formula>
    </cfRule>
  </conditionalFormatting>
  <conditionalFormatting sqref="Y265:Z265 Y267:Z267 Y269:Z269">
    <cfRule type="expression" dxfId="273" priority="397">
      <formula>MOD(ROW(),2)=0</formula>
    </cfRule>
  </conditionalFormatting>
  <conditionalFormatting sqref="Y266:Z266 Y268:Z268 Y270:Z270">
    <cfRule type="expression" dxfId="272" priority="396">
      <formula>MOD(ROW(),2)=0</formula>
    </cfRule>
  </conditionalFormatting>
  <conditionalFormatting sqref="Y271:Z271 Y273:Z273 Y275:Z276">
    <cfRule type="expression" dxfId="271" priority="395">
      <formula>MOD(ROW(),2)=0</formula>
    </cfRule>
  </conditionalFormatting>
  <conditionalFormatting sqref="Y272:Z272 Y274:Z274">
    <cfRule type="expression" dxfId="270" priority="394">
      <formula>MOD(ROW(),2)=0</formula>
    </cfRule>
  </conditionalFormatting>
  <conditionalFormatting sqref="Y277:Z277 Y279:Z279 Y281:Z281">
    <cfRule type="expression" dxfId="269" priority="393">
      <formula>MOD(ROW(),2)=0</formula>
    </cfRule>
  </conditionalFormatting>
  <conditionalFormatting sqref="Y278:Z278 Y280:Z280 Y282:Z283">
    <cfRule type="expression" dxfId="268" priority="392">
      <formula>MOD(ROW(),2)=0</formula>
    </cfRule>
  </conditionalFormatting>
  <conditionalFormatting sqref="B1322:AD1322">
    <cfRule type="expression" dxfId="267" priority="388">
      <formula>MOD(ROW(),2)=0</formula>
    </cfRule>
  </conditionalFormatting>
  <conditionalFormatting sqref="T1320">
    <cfRule type="expression" dxfId="266" priority="387">
      <formula>MOD(ROW(),2)=0</formula>
    </cfRule>
  </conditionalFormatting>
  <conditionalFormatting sqref="T1321">
    <cfRule type="expression" dxfId="265" priority="386">
      <formula>MOD(ROW(),2)=0</formula>
    </cfRule>
  </conditionalFormatting>
  <conditionalFormatting sqref="Y1321:Z1321">
    <cfRule type="expression" dxfId="264" priority="376">
      <formula>MOD(ROW(),2)=0</formula>
    </cfRule>
  </conditionalFormatting>
  <conditionalFormatting sqref="K1320:R1320">
    <cfRule type="expression" dxfId="263" priority="381">
      <formula>MOD(ROW(),2)=0</formula>
    </cfRule>
  </conditionalFormatting>
  <conditionalFormatting sqref="K1321:R1321">
    <cfRule type="expression" dxfId="262" priority="380">
      <formula>MOD(ROW(),2)=0</formula>
    </cfRule>
  </conditionalFormatting>
  <conditionalFormatting sqref="U1320:W1320">
    <cfRule type="expression" dxfId="261" priority="379">
      <formula>MOD(ROW(),2)=0</formula>
    </cfRule>
  </conditionalFormatting>
  <conditionalFormatting sqref="U1321:W1321">
    <cfRule type="expression" dxfId="260" priority="378">
      <formula>MOD(ROW(),2)=0</formula>
    </cfRule>
  </conditionalFormatting>
  <conditionalFormatting sqref="Y1320:Z1320">
    <cfRule type="expression" dxfId="259" priority="377">
      <formula>MOD(ROW(),2)=0</formula>
    </cfRule>
  </conditionalFormatting>
  <conditionalFormatting sqref="B717:AD717">
    <cfRule type="expression" dxfId="258" priority="375">
      <formula>MOD(ROW(),2)=0</formula>
    </cfRule>
  </conditionalFormatting>
  <conditionalFormatting sqref="B694:AD694">
    <cfRule type="expression" dxfId="257" priority="370">
      <formula>MOD(ROW(),2)=0</formula>
    </cfRule>
  </conditionalFormatting>
  <conditionalFormatting sqref="B692:J693 S692:S693 X692:X693 AA692:AD693">
    <cfRule type="expression" dxfId="256" priority="369">
      <formula>MOD(ROW(),2)=0</formula>
    </cfRule>
  </conditionalFormatting>
  <conditionalFormatting sqref="T692">
    <cfRule type="expression" dxfId="255" priority="368">
      <formula>MOD(ROW(),2)=0</formula>
    </cfRule>
  </conditionalFormatting>
  <conditionalFormatting sqref="T693">
    <cfRule type="expression" dxfId="254" priority="367">
      <formula>MOD(ROW(),2)=0</formula>
    </cfRule>
  </conditionalFormatting>
  <conditionalFormatting sqref="Y693:Z693">
    <cfRule type="expression" dxfId="253" priority="357">
      <formula>MOD(ROW(),2)=0</formula>
    </cfRule>
  </conditionalFormatting>
  <conditionalFormatting sqref="K692:R692">
    <cfRule type="expression" dxfId="252" priority="362">
      <formula>MOD(ROW(),2)=0</formula>
    </cfRule>
  </conditionalFormatting>
  <conditionalFormatting sqref="K693:R693">
    <cfRule type="expression" dxfId="251" priority="361">
      <formula>MOD(ROW(),2)=0</formula>
    </cfRule>
  </conditionalFormatting>
  <conditionalFormatting sqref="U692:W692">
    <cfRule type="expression" dxfId="250" priority="360">
      <formula>MOD(ROW(),2)=0</formula>
    </cfRule>
  </conditionalFormatting>
  <conditionalFormatting sqref="U693:W693">
    <cfRule type="expression" dxfId="249" priority="359">
      <formula>MOD(ROW(),2)=0</formula>
    </cfRule>
  </conditionalFormatting>
  <conditionalFormatting sqref="Y692:Z692">
    <cfRule type="expression" dxfId="248" priority="358">
      <formula>MOD(ROW(),2)=0</formula>
    </cfRule>
  </conditionalFormatting>
  <conditionalFormatting sqref="M964:M969">
    <cfRule type="expression" dxfId="247" priority="354">
      <formula>MOD(ROW(),2)=0</formula>
    </cfRule>
  </conditionalFormatting>
  <conditionalFormatting sqref="K1650:L1650">
    <cfRule type="expression" dxfId="246" priority="251">
      <formula>MOD(ROW(),2)=0</formula>
    </cfRule>
  </conditionalFormatting>
  <conditionalFormatting sqref="O1650">
    <cfRule type="expression" dxfId="245" priority="250">
      <formula>MOD(ROW(),2)=0</formula>
    </cfRule>
  </conditionalFormatting>
  <conditionalFormatting sqref="N1650">
    <cfRule type="expression" dxfId="244" priority="249">
      <formula>MOD(ROW(),2)=0</formula>
    </cfRule>
  </conditionalFormatting>
  <conditionalFormatting sqref="B1640:C1641 E1640:E1641 D1640:D1642 K1640:L1641 F1640:G1642 I1640:I1642 B1639:G1639 I1639:L1639 D1645 F1645:F1648 F1651:F1655 F1658:F1662 N1639:U1639 N1640:N1641 Y1640:Z1641 W1639:Z1639 D1665:G1666 AB1665:AC1666 M1665:Z1666 I1665:J1666 Y1642:Y1664 AB1639:AC1641">
    <cfRule type="expression" dxfId="243" priority="353">
      <formula>MOD(ROW(),2)=0</formula>
    </cfRule>
  </conditionalFormatting>
  <conditionalFormatting sqref="H1653 H1655:H1656">
    <cfRule type="expression" dxfId="242" priority="313">
      <formula>MOD(ROW(),2)=0</formula>
    </cfRule>
  </conditionalFormatting>
  <conditionalFormatting sqref="W1650">
    <cfRule type="expression" dxfId="241" priority="246">
      <formula>MOD(ROW(),2)=0</formula>
    </cfRule>
  </conditionalFormatting>
  <conditionalFormatting sqref="B1642:C1642 E1642 K1642:L1642 N1642 Y1642:Z1642 AB1642:AC1642">
    <cfRule type="expression" dxfId="240" priority="351">
      <formula>MOD(ROW(),2)=0</formula>
    </cfRule>
  </conditionalFormatting>
  <conditionalFormatting sqref="F1649">
    <cfRule type="expression" dxfId="239" priority="331">
      <formula>MOD(ROW(),2)=0</formula>
    </cfRule>
  </conditionalFormatting>
  <conditionalFormatting sqref="B1645:C1645 E1645 K1645:L1645 D1646:E1648 G1645:G1648 D1651:E1655 D1658:E1662 G1651:G1655 I1645 G1658:G1662 N1645 X1646:Z1646 AC1658:AC1662 AC1651:AC1655 AB1645:AC1645 AC1646:AC1648 Y1645:Z1645 Y1647:Z1648 X1651:Z1653 Y1654:Z1655 X1658:Z1660 Y1661:Z1662">
    <cfRule type="expression" dxfId="238" priority="350">
      <formula>MOD(ROW(),2)=0</formula>
    </cfRule>
  </conditionalFormatting>
  <conditionalFormatting sqref="B1649:C1649">
    <cfRule type="expression" dxfId="237" priority="329">
      <formula>MOD(ROW(),2)=0</formula>
    </cfRule>
  </conditionalFormatting>
  <conditionalFormatting sqref="B1652:C1652">
    <cfRule type="expression" dxfId="236" priority="347">
      <formula>MOD(ROW(),2)=0</formula>
    </cfRule>
  </conditionalFormatting>
  <conditionalFormatting sqref="B1646:C1648">
    <cfRule type="expression" dxfId="235" priority="349">
      <formula>MOD(ROW(),2)=0</formula>
    </cfRule>
  </conditionalFormatting>
  <conditionalFormatting sqref="B1651">
    <cfRule type="expression" dxfId="234" priority="348">
      <formula>MOD(ROW(),2)=0</formula>
    </cfRule>
  </conditionalFormatting>
  <conditionalFormatting sqref="B1653:C1655">
    <cfRule type="expression" dxfId="233" priority="346">
      <formula>MOD(ROW(),2)=0</formula>
    </cfRule>
  </conditionalFormatting>
  <conditionalFormatting sqref="B1658:C1658">
    <cfRule type="expression" dxfId="232" priority="345">
      <formula>MOD(ROW(),2)=0</formula>
    </cfRule>
  </conditionalFormatting>
  <conditionalFormatting sqref="B1659:C1659">
    <cfRule type="expression" dxfId="231" priority="344">
      <formula>MOD(ROW(),2)=0</formula>
    </cfRule>
  </conditionalFormatting>
  <conditionalFormatting sqref="B1660:C1662">
    <cfRule type="expression" dxfId="230" priority="343">
      <formula>MOD(ROW(),2)=0</formula>
    </cfRule>
  </conditionalFormatting>
  <conditionalFormatting sqref="B1665:C1665">
    <cfRule type="expression" dxfId="229" priority="342">
      <formula>MOD(ROW(),2)=0</formula>
    </cfRule>
  </conditionalFormatting>
  <conditionalFormatting sqref="B1666:C1666">
    <cfRule type="expression" dxfId="228" priority="341">
      <formula>MOD(ROW(),2)=0</formula>
    </cfRule>
  </conditionalFormatting>
  <conditionalFormatting sqref="J1640:J1642 J1645:J1648 J1651:J1655 J1658:J1662">
    <cfRule type="expression" dxfId="227" priority="340">
      <formula>MOD(ROW(),2)=0</formula>
    </cfRule>
  </conditionalFormatting>
  <conditionalFormatting sqref="K1649:L1649 K1656:L1656 K1663:L1663">
    <cfRule type="expression" dxfId="226" priority="290">
      <formula>MOD(ROW(),2)=0</formula>
    </cfRule>
  </conditionalFormatting>
  <conditionalFormatting sqref="H1645">
    <cfRule type="expression" dxfId="225" priority="332">
      <formula>MOD(ROW(),2)=0</formula>
    </cfRule>
  </conditionalFormatting>
  <conditionalFormatting sqref="H1639 H1641:H1642">
    <cfRule type="expression" dxfId="224" priority="338">
      <formula>MOD(ROW(),2)=0</formula>
    </cfRule>
  </conditionalFormatting>
  <conditionalFormatting sqref="D1644 F1644:G1644 I1644">
    <cfRule type="expression" dxfId="223" priority="337">
      <formula>MOD(ROW(),2)=0</formula>
    </cfRule>
  </conditionalFormatting>
  <conditionalFormatting sqref="B1644:C1644 E1644 K1644:L1644 N1644 X1644:Z1644 AB1644:AC1644">
    <cfRule type="expression" dxfId="222" priority="336">
      <formula>MOD(ROW(),2)=0</formula>
    </cfRule>
  </conditionalFormatting>
  <conditionalFormatting sqref="H1659">
    <cfRule type="expression" dxfId="221" priority="311">
      <formula>MOD(ROW(),2)=0</formula>
    </cfRule>
  </conditionalFormatting>
  <conditionalFormatting sqref="J1644">
    <cfRule type="expression" dxfId="220" priority="335">
      <formula>MOD(ROW(),2)=0</formula>
    </cfRule>
  </conditionalFormatting>
  <conditionalFormatting sqref="H1644">
    <cfRule type="expression" dxfId="219" priority="333">
      <formula>MOD(ROW(),2)=0</formula>
    </cfRule>
  </conditionalFormatting>
  <conditionalFormatting sqref="J1649">
    <cfRule type="expression" dxfId="218" priority="328">
      <formula>MOD(ROW(),2)=0</formula>
    </cfRule>
  </conditionalFormatting>
  <conditionalFormatting sqref="G1649 D1649:E1649 Y1649:Z1649 AC1649">
    <cfRule type="expression" dxfId="217" priority="330">
      <formula>MOD(ROW(),2)=0</formula>
    </cfRule>
  </conditionalFormatting>
  <conditionalFormatting sqref="K1646:L1648 K1653:L1655 K1660:L1662">
    <cfRule type="expression" dxfId="216" priority="291">
      <formula>MOD(ROW(),2)=0</formula>
    </cfRule>
  </conditionalFormatting>
  <conditionalFormatting sqref="F1656">
    <cfRule type="expression" dxfId="215" priority="326">
      <formula>MOD(ROW(),2)=0</formula>
    </cfRule>
  </conditionalFormatting>
  <conditionalFormatting sqref="K1651:L1651 K1658:L1658 K1665:L1665">
    <cfRule type="expression" dxfId="214" priority="288">
      <formula>MOD(ROW(),2)=0</formula>
    </cfRule>
  </conditionalFormatting>
  <conditionalFormatting sqref="AB1646:AB1649 AB1651:AB1656 AB1658:AB1663">
    <cfRule type="expression" dxfId="213" priority="281">
      <formula>MOD(ROW(),2)=0</formula>
    </cfRule>
  </conditionalFormatting>
  <conditionalFormatting sqref="D1656:E1656 G1656 Y1656:Z1656 AC1656">
    <cfRule type="expression" dxfId="212" priority="325">
      <formula>MOD(ROW(),2)=0</formula>
    </cfRule>
  </conditionalFormatting>
  <conditionalFormatting sqref="B1656:C1656">
    <cfRule type="expression" dxfId="211" priority="324">
      <formula>MOD(ROW(),2)=0</formula>
    </cfRule>
  </conditionalFormatting>
  <conditionalFormatting sqref="J1656">
    <cfRule type="expression" dxfId="210" priority="323">
      <formula>MOD(ROW(),2)=0</formula>
    </cfRule>
  </conditionalFormatting>
  <conditionalFormatting sqref="W1640:W1642 W1644:W1649 W1651:W1656 W1658:W1663">
    <cfRule type="expression" dxfId="209" priority="283">
      <formula>MOD(ROW(),2)=0</formula>
    </cfRule>
  </conditionalFormatting>
  <conditionalFormatting sqref="F1663">
    <cfRule type="expression" dxfId="208" priority="321">
      <formula>MOD(ROW(),2)=0</formula>
    </cfRule>
  </conditionalFormatting>
  <conditionalFormatting sqref="G1663 D1663:E1663 Y1663:Z1663 AC1663">
    <cfRule type="expression" dxfId="207" priority="320">
      <formula>MOD(ROW(),2)=0</formula>
    </cfRule>
  </conditionalFormatting>
  <conditionalFormatting sqref="B1663:C1663">
    <cfRule type="expression" dxfId="206" priority="319">
      <formula>MOD(ROW(),2)=0</formula>
    </cfRule>
  </conditionalFormatting>
  <conditionalFormatting sqref="J1663">
    <cfRule type="expression" dxfId="205" priority="318">
      <formula>MOD(ROW(),2)=0</formula>
    </cfRule>
  </conditionalFormatting>
  <conditionalFormatting sqref="H1652">
    <cfRule type="expression" dxfId="204" priority="314">
      <formula>MOD(ROW(),2)=0</formula>
    </cfRule>
  </conditionalFormatting>
  <conditionalFormatting sqref="H1646 H1648:H1649">
    <cfRule type="expression" dxfId="203" priority="316">
      <formula>MOD(ROW(),2)=0</formula>
    </cfRule>
  </conditionalFormatting>
  <conditionalFormatting sqref="H1651">
    <cfRule type="expression" dxfId="202" priority="315">
      <formula>MOD(ROW(),2)=0</formula>
    </cfRule>
  </conditionalFormatting>
  <conditionalFormatting sqref="H1666">
    <cfRule type="expression" dxfId="201" priority="308">
      <formula>MOD(ROW(),2)=0</formula>
    </cfRule>
  </conditionalFormatting>
  <conditionalFormatting sqref="H1665">
    <cfRule type="expression" dxfId="200" priority="309">
      <formula>MOD(ROW(),2)=0</formula>
    </cfRule>
  </conditionalFormatting>
  <conditionalFormatting sqref="H1658">
    <cfRule type="expression" dxfId="199" priority="312">
      <formula>MOD(ROW(),2)=0</formula>
    </cfRule>
  </conditionalFormatting>
  <conditionalFormatting sqref="H1660 H1662:H1663">
    <cfRule type="expression" dxfId="198" priority="310">
      <formula>MOD(ROW(),2)=0</formula>
    </cfRule>
  </conditionalFormatting>
  <conditionalFormatting sqref="I1646:I1649 I1651:I1656 I1658:I1663">
    <cfRule type="expression" dxfId="197" priority="307">
      <formula>MOD(ROW(),2)=0</formula>
    </cfRule>
  </conditionalFormatting>
  <conditionalFormatting sqref="P1643:U1643">
    <cfRule type="expression" dxfId="196" priority="267">
      <formula>MOD(ROW(),2)=0</formula>
    </cfRule>
  </conditionalFormatting>
  <conditionalFormatting sqref="W1643">
    <cfRule type="expression" dxfId="195" priority="266">
      <formula>MOD(ROW(),2)=0</formula>
    </cfRule>
  </conditionalFormatting>
  <conditionalFormatting sqref="D1650:E1650 G1650 Y1650:Z1650 AC1650">
    <cfRule type="expression" dxfId="194" priority="261">
      <formula>MOD(ROW(),2)=0</formula>
    </cfRule>
  </conditionalFormatting>
  <conditionalFormatting sqref="P1640:U1642 P1644:U1649 P1651:U1656 P1658:U1663">
    <cfRule type="expression" dxfId="193" priority="284">
      <formula>MOD(ROW(),2)=0</formula>
    </cfRule>
  </conditionalFormatting>
  <conditionalFormatting sqref="I1650">
    <cfRule type="expression" dxfId="192" priority="256">
      <formula>MOD(ROW(),2)=0</formula>
    </cfRule>
  </conditionalFormatting>
  <conditionalFormatting sqref="O1640:O1642 O1644:O1649 O1651:O1656 O1658:O1663">
    <cfRule type="expression" dxfId="191" priority="287">
      <formula>MOD(ROW(),2)=0</formula>
    </cfRule>
  </conditionalFormatting>
  <conditionalFormatting sqref="K1652:L1652 K1659:L1659 K1666:L1666">
    <cfRule type="expression" dxfId="190" priority="289">
      <formula>MOD(ROW(),2)=0</formula>
    </cfRule>
  </conditionalFormatting>
  <conditionalFormatting sqref="N1646:N1649 N1651:N1656 N1658:N1663">
    <cfRule type="expression" dxfId="189" priority="286">
      <formula>MOD(ROW(),2)=0</formula>
    </cfRule>
  </conditionalFormatting>
  <conditionalFormatting sqref="M1639:M1642 M1644:M1649 M1651:M1656 M1658:M1663">
    <cfRule type="expression" dxfId="188" priority="285">
      <formula>MOD(ROW(),2)=0</formula>
    </cfRule>
  </conditionalFormatting>
  <conditionalFormatting sqref="V1639:V1642 V1644:V1649 V1651:V1656 V1658:V1663">
    <cfRule type="expression" dxfId="187" priority="282">
      <formula>MOD(ROW(),2)=0</formula>
    </cfRule>
  </conditionalFormatting>
  <conditionalFormatting sqref="F1657">
    <cfRule type="expression" dxfId="186" priority="241">
      <formula>MOD(ROW(),2)=0</formula>
    </cfRule>
  </conditionalFormatting>
  <conditionalFormatting sqref="D1657:E1657 G1657 Y1657:Z1657 AC1657">
    <cfRule type="expression" dxfId="185" priority="240">
      <formula>MOD(ROW(),2)=0</formula>
    </cfRule>
  </conditionalFormatting>
  <conditionalFormatting sqref="D1643 F1643:G1643 I1643">
    <cfRule type="expression" dxfId="184" priority="276">
      <formula>MOD(ROW(),2)=0</formula>
    </cfRule>
  </conditionalFormatting>
  <conditionalFormatting sqref="B1643:C1643 E1643 K1643:L1643 N1643 Y1643:Z1643 AB1643:AC1643">
    <cfRule type="expression" dxfId="183" priority="275">
      <formula>MOD(ROW(),2)=0</formula>
    </cfRule>
  </conditionalFormatting>
  <conditionalFormatting sqref="J1643">
    <cfRule type="expression" dxfId="182" priority="274">
      <formula>MOD(ROW(),2)=0</formula>
    </cfRule>
  </conditionalFormatting>
  <conditionalFormatting sqref="H1643">
    <cfRule type="expression" dxfId="181" priority="272">
      <formula>MOD(ROW(),2)=0</formula>
    </cfRule>
  </conditionalFormatting>
  <conditionalFormatting sqref="O1657">
    <cfRule type="expression" dxfId="180" priority="229">
      <formula>MOD(ROW(),2)=0</formula>
    </cfRule>
  </conditionalFormatting>
  <conditionalFormatting sqref="V1643">
    <cfRule type="expression" dxfId="179" priority="265">
      <formula>MOD(ROW(),2)=0</formula>
    </cfRule>
  </conditionalFormatting>
  <conditionalFormatting sqref="O1643">
    <cfRule type="expression" dxfId="178" priority="269">
      <formula>MOD(ROW(),2)=0</formula>
    </cfRule>
  </conditionalFormatting>
  <conditionalFormatting sqref="M1643">
    <cfRule type="expression" dxfId="177" priority="268">
      <formula>MOD(ROW(),2)=0</formula>
    </cfRule>
  </conditionalFormatting>
  <conditionalFormatting sqref="F1650">
    <cfRule type="expression" dxfId="176" priority="262">
      <formula>MOD(ROW(),2)=0</formula>
    </cfRule>
  </conditionalFormatting>
  <conditionalFormatting sqref="W1657">
    <cfRule type="expression" dxfId="175" priority="225">
      <formula>MOD(ROW(),2)=0</formula>
    </cfRule>
  </conditionalFormatting>
  <conditionalFormatting sqref="V1657">
    <cfRule type="expression" dxfId="174" priority="224">
      <formula>MOD(ROW(),2)=0</formula>
    </cfRule>
  </conditionalFormatting>
  <conditionalFormatting sqref="B1650:C1650">
    <cfRule type="expression" dxfId="173" priority="260">
      <formula>MOD(ROW(),2)=0</formula>
    </cfRule>
  </conditionalFormatting>
  <conditionalFormatting sqref="J1650">
    <cfRule type="expression" dxfId="172" priority="259">
      <formula>MOD(ROW(),2)=0</formula>
    </cfRule>
  </conditionalFormatting>
  <conditionalFormatting sqref="D1664:E1664 G1664 Y1664:Z1664 AC1664">
    <cfRule type="expression" dxfId="171" priority="219">
      <formula>MOD(ROW(),2)=0</formula>
    </cfRule>
  </conditionalFormatting>
  <conditionalFormatting sqref="AB1650">
    <cfRule type="expression" dxfId="170" priority="244">
      <formula>MOD(ROW(),2)=0</formula>
    </cfRule>
  </conditionalFormatting>
  <conditionalFormatting sqref="H1650">
    <cfRule type="expression" dxfId="169" priority="257">
      <formula>MOD(ROW(),2)=0</formula>
    </cfRule>
  </conditionalFormatting>
  <conditionalFormatting sqref="I1664">
    <cfRule type="expression" dxfId="168" priority="214">
      <formula>MOD(ROW(),2)=0</formula>
    </cfRule>
  </conditionalFormatting>
  <conditionalFormatting sqref="H1664">
    <cfRule type="expression" dxfId="167" priority="215">
      <formula>MOD(ROW(),2)=0</formula>
    </cfRule>
  </conditionalFormatting>
  <conditionalFormatting sqref="M1650">
    <cfRule type="expression" dxfId="166" priority="248">
      <formula>MOD(ROW(),2)=0</formula>
    </cfRule>
  </conditionalFormatting>
  <conditionalFormatting sqref="P1650:U1650">
    <cfRule type="expression" dxfId="165" priority="247">
      <formula>MOD(ROW(),2)=0</formula>
    </cfRule>
  </conditionalFormatting>
  <conditionalFormatting sqref="V1650">
    <cfRule type="expression" dxfId="164" priority="245">
      <formula>MOD(ROW(),2)=0</formula>
    </cfRule>
  </conditionalFormatting>
  <conditionalFormatting sqref="B1657:C1657">
    <cfRule type="expression" dxfId="163" priority="239">
      <formula>MOD(ROW(),2)=0</formula>
    </cfRule>
  </conditionalFormatting>
  <conditionalFormatting sqref="J1657">
    <cfRule type="expression" dxfId="162" priority="238">
      <formula>MOD(ROW(),2)=0</formula>
    </cfRule>
  </conditionalFormatting>
  <conditionalFormatting sqref="H1657">
    <cfRule type="expression" dxfId="161" priority="236">
      <formula>MOD(ROW(),2)=0</formula>
    </cfRule>
  </conditionalFormatting>
  <conditionalFormatting sqref="I1657">
    <cfRule type="expression" dxfId="160" priority="235">
      <formula>MOD(ROW(),2)=0</formula>
    </cfRule>
  </conditionalFormatting>
  <conditionalFormatting sqref="X1640:X1643">
    <cfRule type="expression" dxfId="159" priority="198">
      <formula>MOD(ROW(),2)=0</formula>
    </cfRule>
  </conditionalFormatting>
  <conditionalFormatting sqref="AB1657">
    <cfRule type="expression" dxfId="158" priority="223">
      <formula>MOD(ROW(),2)=0</formula>
    </cfRule>
  </conditionalFormatting>
  <conditionalFormatting sqref="X1647:X1650">
    <cfRule type="expression" dxfId="157" priority="194">
      <formula>MOD(ROW(),2)=0</formula>
    </cfRule>
  </conditionalFormatting>
  <conditionalFormatting sqref="K1657:L1657">
    <cfRule type="expression" dxfId="156" priority="230">
      <formula>MOD(ROW(),2)=0</formula>
    </cfRule>
  </conditionalFormatting>
  <conditionalFormatting sqref="P1657:U1657">
    <cfRule type="expression" dxfId="155" priority="226">
      <formula>MOD(ROW(),2)=0</formula>
    </cfRule>
  </conditionalFormatting>
  <conditionalFormatting sqref="M1657">
    <cfRule type="expression" dxfId="154" priority="227">
      <formula>MOD(ROW(),2)=0</formula>
    </cfRule>
  </conditionalFormatting>
  <conditionalFormatting sqref="N1657">
    <cfRule type="expression" dxfId="153" priority="228">
      <formula>MOD(ROW(),2)=0</formula>
    </cfRule>
  </conditionalFormatting>
  <conditionalFormatting sqref="F1664">
    <cfRule type="expression" dxfId="152" priority="220">
      <formula>MOD(ROW(),2)=0</formula>
    </cfRule>
  </conditionalFormatting>
  <conditionalFormatting sqref="J1664">
    <cfRule type="expression" dxfId="151" priority="217">
      <formula>MOD(ROW(),2)=0</formula>
    </cfRule>
  </conditionalFormatting>
  <conditionalFormatting sqref="B1664:C1664">
    <cfRule type="expression" dxfId="150" priority="218">
      <formula>MOD(ROW(),2)=0</formula>
    </cfRule>
  </conditionalFormatting>
  <conditionalFormatting sqref="H1647">
    <cfRule type="expression" dxfId="149" priority="177">
      <formula>MOD(ROW(),2)=0</formula>
    </cfRule>
  </conditionalFormatting>
  <conditionalFormatting sqref="AB1664">
    <cfRule type="expression" dxfId="148" priority="202">
      <formula>MOD(ROW(),2)=0</formula>
    </cfRule>
  </conditionalFormatting>
  <conditionalFormatting sqref="P1664:U1664">
    <cfRule type="expression" dxfId="147" priority="205">
      <formula>MOD(ROW(),2)=0</formula>
    </cfRule>
  </conditionalFormatting>
  <conditionalFormatting sqref="O1664">
    <cfRule type="expression" dxfId="146" priority="208">
      <formula>MOD(ROW(),2)=0</formula>
    </cfRule>
  </conditionalFormatting>
  <conditionalFormatting sqref="K1664:L1664">
    <cfRule type="expression" dxfId="145" priority="209">
      <formula>MOD(ROW(),2)=0</formula>
    </cfRule>
  </conditionalFormatting>
  <conditionalFormatting sqref="N1664">
    <cfRule type="expression" dxfId="144" priority="207">
      <formula>MOD(ROW(),2)=0</formula>
    </cfRule>
  </conditionalFormatting>
  <conditionalFormatting sqref="M1664">
    <cfRule type="expression" dxfId="143" priority="206">
      <formula>MOD(ROW(),2)=0</formula>
    </cfRule>
  </conditionalFormatting>
  <conditionalFormatting sqref="W1664">
    <cfRule type="expression" dxfId="142" priority="204">
      <formula>MOD(ROW(),2)=0</formula>
    </cfRule>
  </conditionalFormatting>
  <conditionalFormatting sqref="V1664">
    <cfRule type="expression" dxfId="141" priority="203">
      <formula>MOD(ROW(),2)=0</formula>
    </cfRule>
  </conditionalFormatting>
  <conditionalFormatting sqref="C1651">
    <cfRule type="expression" dxfId="140" priority="199">
      <formula>MOD(ROW(),2)=0</formula>
    </cfRule>
  </conditionalFormatting>
  <conditionalFormatting sqref="X1645">
    <cfRule type="expression" dxfId="139" priority="197">
      <formula>MOD(ROW(),2)=0</formula>
    </cfRule>
  </conditionalFormatting>
  <conditionalFormatting sqref="X1654:X1657">
    <cfRule type="expression" dxfId="138" priority="192">
      <formula>MOD(ROW(),2)=0</formula>
    </cfRule>
  </conditionalFormatting>
  <conditionalFormatting sqref="X1661:X1664">
    <cfRule type="expression" dxfId="137" priority="190">
      <formula>MOD(ROW(),2)=0</formula>
    </cfRule>
  </conditionalFormatting>
  <conditionalFormatting sqref="H1640">
    <cfRule type="expression" dxfId="136" priority="178">
      <formula>MOD(ROW(),2)=0</formula>
    </cfRule>
  </conditionalFormatting>
  <conditionalFormatting sqref="H1661">
    <cfRule type="expression" dxfId="135" priority="175">
      <formula>MOD(ROW(),2)=0</formula>
    </cfRule>
  </conditionalFormatting>
  <conditionalFormatting sqref="H1654">
    <cfRule type="expression" dxfId="134" priority="176">
      <formula>MOD(ROW(),2)=0</formula>
    </cfRule>
  </conditionalFormatting>
  <conditionalFormatting sqref="W524">
    <cfRule type="expression" dxfId="133" priority="134">
      <formula>MOD(ROW(),2)=0</formula>
    </cfRule>
  </conditionalFormatting>
  <conditionalFormatting sqref="C520:C523">
    <cfRule type="expression" dxfId="132" priority="131">
      <formula>MOD(ROW(),2)=0</formula>
    </cfRule>
  </conditionalFormatting>
  <conditionalFormatting sqref="D524:V524 X524:AB524">
    <cfRule type="expression" dxfId="131" priority="135">
      <formula>MOD(ROW(),2)=0</formula>
    </cfRule>
  </conditionalFormatting>
  <conditionalFormatting sqref="D520:AB520 D521:E523 G521:AB523 B520:B523">
    <cfRule type="expression" dxfId="130" priority="133">
      <formula>MOD(ROW(),2)=0</formula>
    </cfRule>
  </conditionalFormatting>
  <conditionalFormatting sqref="B519:AB519">
    <cfRule type="expression" dxfId="129" priority="130">
      <formula>MOD(ROW(),2)=0</formula>
    </cfRule>
  </conditionalFormatting>
  <conditionalFormatting sqref="B511:B518">
    <cfRule type="expression" dxfId="128" priority="129">
      <formula>MOD(ROW(),2)=0</formula>
    </cfRule>
  </conditionalFormatting>
  <conditionalFormatting sqref="F521">
    <cfRule type="expression" dxfId="127" priority="127">
      <formula>MOD(ROW(),2)=0</formula>
    </cfRule>
  </conditionalFormatting>
  <conditionalFormatting sqref="F522">
    <cfRule type="expression" dxfId="126" priority="126">
      <formula>MOD(ROW(),2)=0</formula>
    </cfRule>
  </conditionalFormatting>
  <conditionalFormatting sqref="F523">
    <cfRule type="expression" dxfId="125" priority="125">
      <formula>MOD(ROW(),2)=0</formula>
    </cfRule>
  </conditionalFormatting>
  <conditionalFormatting sqref="AD519">
    <cfRule type="expression" dxfId="124" priority="97">
      <formula>MOD(ROW(),2)=0</formula>
    </cfRule>
  </conditionalFormatting>
  <conditionalFormatting sqref="AD522">
    <cfRule type="expression" dxfId="123" priority="95">
      <formula>MOD(ROW(),2)=0</formula>
    </cfRule>
  </conditionalFormatting>
  <conditionalFormatting sqref="AD523">
    <cfRule type="expression" dxfId="122" priority="93">
      <formula>MOD(ROW(),2)=0</formula>
    </cfRule>
  </conditionalFormatting>
  <conditionalFormatting sqref="AD526">
    <cfRule type="expression" dxfId="121" priority="92">
      <formula>MOD(ROW(),2)=0</formula>
    </cfRule>
  </conditionalFormatting>
  <conditionalFormatting sqref="AD527">
    <cfRule type="expression" dxfId="120" priority="91">
      <formula>MOD(ROW(),2)=0</formula>
    </cfRule>
  </conditionalFormatting>
  <conditionalFormatting sqref="AD528">
    <cfRule type="expression" dxfId="119" priority="90">
      <formula>MOD(ROW(),2)=0</formula>
    </cfRule>
  </conditionalFormatting>
  <conditionalFormatting sqref="AD530">
    <cfRule type="expression" dxfId="118" priority="89">
      <formula>MOD(ROW(),2)=0</formula>
    </cfRule>
  </conditionalFormatting>
  <conditionalFormatting sqref="G525">
    <cfRule type="expression" dxfId="117" priority="114">
      <formula>MOD(ROW(),2)=0</formula>
    </cfRule>
  </conditionalFormatting>
  <conditionalFormatting sqref="AC511:AC546">
    <cfRule type="expression" dxfId="116" priority="108">
      <formula>MOD(ROW(),2)=0</formula>
    </cfRule>
  </conditionalFormatting>
  <conditionalFormatting sqref="AD511 AD515 AD521 AD529 AD524:AD525 AD533">
    <cfRule type="expression" dxfId="115" priority="106">
      <formula>MOD(ROW(),2)=0</formula>
    </cfRule>
  </conditionalFormatting>
  <conditionalFormatting sqref="AD512">
    <cfRule type="expression" dxfId="114" priority="105">
      <formula>MOD(ROW(),2)=0</formula>
    </cfRule>
  </conditionalFormatting>
  <conditionalFormatting sqref="AD513">
    <cfRule type="expression" dxfId="113" priority="104">
      <formula>MOD(ROW(),2)=0</formula>
    </cfRule>
  </conditionalFormatting>
  <conditionalFormatting sqref="AD514">
    <cfRule type="expression" dxfId="112" priority="103">
      <formula>MOD(ROW(),2)=0</formula>
    </cfRule>
  </conditionalFormatting>
  <conditionalFormatting sqref="AD516">
    <cfRule type="expression" dxfId="111" priority="102">
      <formula>MOD(ROW(),2)=0</formula>
    </cfRule>
  </conditionalFormatting>
  <conditionalFormatting sqref="AD517">
    <cfRule type="expression" dxfId="110" priority="101">
      <formula>MOD(ROW(),2)=0</formula>
    </cfRule>
  </conditionalFormatting>
  <conditionalFormatting sqref="AD518">
    <cfRule type="expression" dxfId="109" priority="100">
      <formula>MOD(ROW(),2)=0</formula>
    </cfRule>
  </conditionalFormatting>
  <conditionalFormatting sqref="AD520">
    <cfRule type="expression" dxfId="108" priority="99">
      <formula>MOD(ROW(),2)=0</formula>
    </cfRule>
  </conditionalFormatting>
  <conditionalFormatting sqref="AD451">
    <cfRule type="expression" dxfId="107" priority="41">
      <formula>MOD(ROW(),2)=0</formula>
    </cfRule>
  </conditionalFormatting>
  <conditionalFormatting sqref="AD452">
    <cfRule type="expression" dxfId="106" priority="39">
      <formula>MOD(ROW(),2)=0</formula>
    </cfRule>
  </conditionalFormatting>
  <conditionalFormatting sqref="AD453">
    <cfRule type="expression" dxfId="105" priority="37">
      <formula>MOD(ROW(),2)=0</formula>
    </cfRule>
  </conditionalFormatting>
  <conditionalFormatting sqref="AD454">
    <cfRule type="expression" dxfId="104" priority="35">
      <formula>MOD(ROW(),2)=0</formula>
    </cfRule>
  </conditionalFormatting>
  <conditionalFormatting sqref="AD455">
    <cfRule type="expression" dxfId="103" priority="33">
      <formula>MOD(ROW(),2)=0</formula>
    </cfRule>
  </conditionalFormatting>
  <conditionalFormatting sqref="AD531">
    <cfRule type="expression" dxfId="102" priority="88">
      <formula>MOD(ROW(),2)=0</formula>
    </cfRule>
  </conditionalFormatting>
  <conditionalFormatting sqref="AD532">
    <cfRule type="expression" dxfId="101" priority="87">
      <formula>MOD(ROW(),2)=0</formula>
    </cfRule>
  </conditionalFormatting>
  <conditionalFormatting sqref="AD534">
    <cfRule type="expression" dxfId="100" priority="86">
      <formula>MOD(ROW(),2)=0</formula>
    </cfRule>
  </conditionalFormatting>
  <conditionalFormatting sqref="AD535">
    <cfRule type="expression" dxfId="99" priority="85">
      <formula>MOD(ROW(),2)=0</formula>
    </cfRule>
  </conditionalFormatting>
  <conditionalFormatting sqref="AD536">
    <cfRule type="expression" dxfId="98" priority="84">
      <formula>MOD(ROW(),2)=0</formula>
    </cfRule>
  </conditionalFormatting>
  <conditionalFormatting sqref="AD538">
    <cfRule type="expression" dxfId="97" priority="83">
      <formula>MOD(ROW(),2)=0</formula>
    </cfRule>
  </conditionalFormatting>
  <conditionalFormatting sqref="AD539">
    <cfRule type="expression" dxfId="96" priority="82">
      <formula>MOD(ROW(),2)=0</formula>
    </cfRule>
  </conditionalFormatting>
  <conditionalFormatting sqref="AD540">
    <cfRule type="expression" dxfId="95" priority="81">
      <formula>MOD(ROW(),2)=0</formula>
    </cfRule>
  </conditionalFormatting>
  <conditionalFormatting sqref="AD541">
    <cfRule type="expression" dxfId="94" priority="80">
      <formula>MOD(ROW(),2)=0</formula>
    </cfRule>
  </conditionalFormatting>
  <conditionalFormatting sqref="AD461">
    <cfRule type="expression" dxfId="93" priority="23">
      <formula>MOD(ROW(),2)=0</formula>
    </cfRule>
  </conditionalFormatting>
  <conditionalFormatting sqref="AD426">
    <cfRule type="expression" dxfId="92" priority="79">
      <formula>MOD(ROW(),2)=0</formula>
    </cfRule>
  </conditionalFormatting>
  <conditionalFormatting sqref="AD456">
    <cfRule type="expression" dxfId="91" priority="31">
      <formula>MOD(ROW(),2)=0</formula>
    </cfRule>
  </conditionalFormatting>
  <conditionalFormatting sqref="AD427">
    <cfRule type="expression" dxfId="90" priority="70">
      <formula>MOD(ROW(),2)=0</formula>
    </cfRule>
  </conditionalFormatting>
  <conditionalFormatting sqref="AD428">
    <cfRule type="expression" dxfId="89" priority="69">
      <formula>MOD(ROW(),2)=0</formula>
    </cfRule>
  </conditionalFormatting>
  <conditionalFormatting sqref="AD429">
    <cfRule type="expression" dxfId="88" priority="67">
      <formula>MOD(ROW(),2)=0</formula>
    </cfRule>
  </conditionalFormatting>
  <conditionalFormatting sqref="AD430">
    <cfRule type="expression" dxfId="87" priority="66">
      <formula>MOD(ROW(),2)=0</formula>
    </cfRule>
  </conditionalFormatting>
  <conditionalFormatting sqref="AD431">
    <cfRule type="expression" dxfId="86" priority="65">
      <formula>MOD(ROW(),2)=0</formula>
    </cfRule>
  </conditionalFormatting>
  <conditionalFormatting sqref="AD432">
    <cfRule type="expression" dxfId="85" priority="64">
      <formula>MOD(ROW(),2)=0</formula>
    </cfRule>
  </conditionalFormatting>
  <conditionalFormatting sqref="AD433">
    <cfRule type="expression" dxfId="84" priority="63">
      <formula>MOD(ROW(),2)=0</formula>
    </cfRule>
  </conditionalFormatting>
  <conditionalFormatting sqref="AD434">
    <cfRule type="expression" dxfId="83" priority="62">
      <formula>MOD(ROW(),2)=0</formula>
    </cfRule>
  </conditionalFormatting>
  <conditionalFormatting sqref="AD435">
    <cfRule type="expression" dxfId="82" priority="61">
      <formula>MOD(ROW(),2)=0</formula>
    </cfRule>
  </conditionalFormatting>
  <conditionalFormatting sqref="AD436">
    <cfRule type="expression" dxfId="81" priority="60">
      <formula>MOD(ROW(),2)=0</formula>
    </cfRule>
  </conditionalFormatting>
  <conditionalFormatting sqref="AD437">
    <cfRule type="expression" dxfId="80" priority="59">
      <formula>MOD(ROW(),2)=0</formula>
    </cfRule>
  </conditionalFormatting>
  <conditionalFormatting sqref="AD438">
    <cfRule type="expression" dxfId="79" priority="58">
      <formula>MOD(ROW(),2)=0</formula>
    </cfRule>
  </conditionalFormatting>
  <conditionalFormatting sqref="AD439">
    <cfRule type="expression" dxfId="78" priority="57">
      <formula>MOD(ROW(),2)=0</formula>
    </cfRule>
  </conditionalFormatting>
  <conditionalFormatting sqref="AD440">
    <cfRule type="expression" dxfId="77" priority="56">
      <formula>MOD(ROW(),2)=0</formula>
    </cfRule>
  </conditionalFormatting>
  <conditionalFormatting sqref="AD441">
    <cfRule type="expression" dxfId="76" priority="55">
      <formula>MOD(ROW(),2)=0</formula>
    </cfRule>
  </conditionalFormatting>
  <conditionalFormatting sqref="AD442">
    <cfRule type="expression" dxfId="75" priority="54">
      <formula>MOD(ROW(),2)=0</formula>
    </cfRule>
  </conditionalFormatting>
  <conditionalFormatting sqref="AD443">
    <cfRule type="expression" dxfId="74" priority="53">
      <formula>MOD(ROW(),2)=0</formula>
    </cfRule>
  </conditionalFormatting>
  <conditionalFormatting sqref="AD444">
    <cfRule type="expression" dxfId="73" priority="52">
      <formula>MOD(ROW(),2)=0</formula>
    </cfRule>
  </conditionalFormatting>
  <conditionalFormatting sqref="AD445">
    <cfRule type="expression" dxfId="72" priority="51">
      <formula>MOD(ROW(),2)=0</formula>
    </cfRule>
  </conditionalFormatting>
  <conditionalFormatting sqref="AD446">
    <cfRule type="expression" dxfId="71" priority="50">
      <formula>MOD(ROW(),2)=0</formula>
    </cfRule>
  </conditionalFormatting>
  <conditionalFormatting sqref="AD447">
    <cfRule type="expression" dxfId="70" priority="49">
      <formula>MOD(ROW(),2)=0</formula>
    </cfRule>
  </conditionalFormatting>
  <conditionalFormatting sqref="AD448">
    <cfRule type="expression" dxfId="69" priority="47">
      <formula>MOD(ROW(),2)=0</formula>
    </cfRule>
  </conditionalFormatting>
  <conditionalFormatting sqref="AD449">
    <cfRule type="expression" dxfId="68" priority="45">
      <formula>MOD(ROW(),2)=0</formula>
    </cfRule>
  </conditionalFormatting>
  <conditionalFormatting sqref="AD450">
    <cfRule type="expression" dxfId="67" priority="43">
      <formula>MOD(ROW(),2)=0</formula>
    </cfRule>
  </conditionalFormatting>
  <conditionalFormatting sqref="AD457">
    <cfRule type="expression" dxfId="66" priority="29">
      <formula>MOD(ROW(),2)=0</formula>
    </cfRule>
  </conditionalFormatting>
  <conditionalFormatting sqref="AD458">
    <cfRule type="expression" dxfId="65" priority="27">
      <formula>MOD(ROW(),2)=0</formula>
    </cfRule>
  </conditionalFormatting>
  <conditionalFormatting sqref="AD459">
    <cfRule type="expression" dxfId="64" priority="25">
      <formula>MOD(ROW(),2)=0</formula>
    </cfRule>
  </conditionalFormatting>
  <conditionalFormatting sqref="A984:AD984 B987:AD987 A986:AD986 B985:AD985">
    <cfRule type="expression" dxfId="63" priority="18">
      <formula>MOD(ROW(),2)=0</formula>
    </cfRule>
  </conditionalFormatting>
  <conditionalFormatting sqref="A1032:A1055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0:W460 Y460:AC460">
    <cfRule type="expression" dxfId="62" priority="15">
      <formula>MOD(ROW(),2)=0</formula>
    </cfRule>
  </conditionalFormatting>
  <conditionalFormatting sqref="AD460">
    <cfRule type="expression" dxfId="61" priority="13">
      <formula>MOD(ROW(),2)=0</formula>
    </cfRule>
  </conditionalFormatting>
  <conditionalFormatting sqref="X460">
    <cfRule type="expression" dxfId="60" priority="10">
      <formula>MOD(ROW(),2)=0</formula>
    </cfRule>
  </conditionalFormatting>
  <conditionalFormatting sqref="AC1032:AC1055">
    <cfRule type="expression" dxfId="59" priority="9">
      <formula>MOD(ROW(),2)=0</formula>
    </cfRule>
  </conditionalFormatting>
  <hyperlinks>
    <hyperlink ref="C1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7030A0"/>
  </sheetPr>
  <dimension ref="A1:AE35"/>
  <sheetViews>
    <sheetView zoomScaleNormal="100" workbookViewId="0">
      <pane xSplit="3" ySplit="1" topLeftCell="M2" activePane="bottomRight" state="frozen"/>
      <selection pane="topRight" activeCell="D1" sqref="D1"/>
      <selection pane="bottomLeft" activeCell="A2" sqref="A2"/>
      <selection pane="bottomRight" activeCell="AF1" sqref="AF1:AF1048576"/>
    </sheetView>
  </sheetViews>
  <sheetFormatPr defaultRowHeight="39.950000000000003" customHeight="1" outlineLevelCol="1" x14ac:dyDescent="0.25"/>
  <cols>
    <col min="1" max="1" width="12.85546875" style="5" customWidth="1"/>
    <col min="2" max="2" width="27.42578125" style="12" customWidth="1"/>
    <col min="3" max="3" width="35.42578125" style="1" customWidth="1"/>
    <col min="4" max="4" width="17.85546875" style="12" customWidth="1"/>
    <col min="5" max="5" width="17" style="12" customWidth="1"/>
    <col min="6" max="10" width="15" style="12" customWidth="1"/>
    <col min="11" max="11" width="33.7109375" style="12" customWidth="1"/>
    <col min="12" max="13" width="15" style="12" customWidth="1"/>
    <col min="14" max="14" width="13.28515625" style="12" customWidth="1"/>
    <col min="15" max="15" width="7" style="12" customWidth="1"/>
    <col min="16" max="16" width="10.42578125" style="12" customWidth="1"/>
    <col min="17" max="17" width="13.5703125" style="1" hidden="1" customWidth="1" outlineLevel="1"/>
    <col min="18" max="18" width="12.7109375" style="12" hidden="1" customWidth="1" outlineLevel="1"/>
    <col min="19" max="19" width="11.5703125" style="12" hidden="1" customWidth="1" outlineLevel="1"/>
    <col min="20" max="20" width="14.42578125" style="12" hidden="1" customWidth="1" outlineLevel="1"/>
    <col min="21" max="21" width="38.5703125" style="1" hidden="1" customWidth="1" outlineLevel="1"/>
    <col min="22" max="22" width="28.5703125" style="1" hidden="1" customWidth="1" outlineLevel="1"/>
    <col min="23" max="23" width="20" style="12" hidden="1" customWidth="1" outlineLevel="1"/>
    <col min="24" max="24" width="13.28515625" style="12" hidden="1" customWidth="1" outlineLevel="1"/>
    <col min="25" max="25" width="9.140625" style="12" hidden="1" customWidth="1" outlineLevel="1"/>
    <col min="26" max="26" width="12.5703125" style="12" hidden="1" customWidth="1" outlineLevel="1"/>
    <col min="27" max="27" width="9.140625" style="12" collapsed="1"/>
    <col min="28" max="31" width="9.28515625" style="17" bestFit="1" customWidth="1"/>
    <col min="32" max="16384" width="9.140625" style="12"/>
  </cols>
  <sheetData>
    <row r="1" spans="1:31" s="1" customFormat="1" ht="76.5" customHeight="1" x14ac:dyDescent="0.25">
      <c r="A1" s="5" t="s">
        <v>0</v>
      </c>
      <c r="B1" s="1" t="s">
        <v>58</v>
      </c>
      <c r="C1" s="1" t="s">
        <v>57</v>
      </c>
      <c r="D1" s="1" t="s">
        <v>56</v>
      </c>
      <c r="E1" s="1" t="s">
        <v>2423</v>
      </c>
      <c r="F1" s="1" t="s">
        <v>55</v>
      </c>
      <c r="G1" s="1" t="s">
        <v>2404</v>
      </c>
      <c r="H1" s="1" t="s">
        <v>2432</v>
      </c>
      <c r="I1" s="1" t="s">
        <v>2405</v>
      </c>
      <c r="J1" s="1" t="s">
        <v>3277</v>
      </c>
      <c r="K1" s="1" t="s">
        <v>2407</v>
      </c>
      <c r="L1" s="1" t="s">
        <v>2408</v>
      </c>
      <c r="M1" s="1" t="s">
        <v>2409</v>
      </c>
      <c r="N1" s="1" t="s">
        <v>53</v>
      </c>
      <c r="O1" s="1" t="s">
        <v>51</v>
      </c>
      <c r="P1" s="1" t="s">
        <v>50</v>
      </c>
      <c r="Q1" s="1" t="s">
        <v>49</v>
      </c>
      <c r="R1" s="1" t="s">
        <v>48</v>
      </c>
      <c r="S1" s="1" t="s">
        <v>46</v>
      </c>
      <c r="T1" s="1" t="s">
        <v>2425</v>
      </c>
      <c r="U1" s="1" t="s">
        <v>38</v>
      </c>
      <c r="V1" s="1" t="s">
        <v>37</v>
      </c>
      <c r="W1" s="1" t="s">
        <v>36</v>
      </c>
      <c r="X1" s="1" t="s">
        <v>35</v>
      </c>
      <c r="Y1" s="1" t="s">
        <v>34</v>
      </c>
      <c r="Z1" s="1" t="s">
        <v>33</v>
      </c>
      <c r="AA1" s="1" t="s">
        <v>31</v>
      </c>
      <c r="AB1" s="16" t="s">
        <v>30</v>
      </c>
      <c r="AC1" s="16" t="s">
        <v>29</v>
      </c>
      <c r="AD1" s="16" t="s">
        <v>28</v>
      </c>
      <c r="AE1" s="16" t="s">
        <v>27</v>
      </c>
    </row>
    <row r="2" spans="1:31" ht="39.950000000000003" customHeight="1" x14ac:dyDescent="0.25">
      <c r="A2" s="67" t="s">
        <v>4639</v>
      </c>
    </row>
    <row r="3" spans="1:31" ht="39.950000000000003" customHeight="1" x14ac:dyDescent="0.25">
      <c r="B3" s="12" t="s">
        <v>2002</v>
      </c>
      <c r="C3" s="1" t="s">
        <v>2003</v>
      </c>
      <c r="E3" s="12">
        <v>1.8</v>
      </c>
      <c r="F3" s="12">
        <v>12</v>
      </c>
      <c r="G3" s="18" t="s">
        <v>2410</v>
      </c>
      <c r="H3" s="7">
        <v>25</v>
      </c>
      <c r="I3" s="7"/>
      <c r="J3" s="12" t="s">
        <v>2005</v>
      </c>
      <c r="K3" s="1" t="s">
        <v>2006</v>
      </c>
      <c r="L3" s="12" t="s">
        <v>2012</v>
      </c>
      <c r="M3" s="12" t="s">
        <v>2424</v>
      </c>
      <c r="N3" s="20" t="s">
        <v>2004</v>
      </c>
      <c r="O3" s="12">
        <v>20</v>
      </c>
      <c r="P3" s="12" t="s">
        <v>389</v>
      </c>
      <c r="Q3" s="1" t="s">
        <v>106</v>
      </c>
      <c r="R3" s="12" t="s">
        <v>1618</v>
      </c>
      <c r="S3" s="12" t="s">
        <v>108</v>
      </c>
      <c r="T3" s="12" t="s">
        <v>2426</v>
      </c>
      <c r="U3" s="1" t="s">
        <v>2008</v>
      </c>
      <c r="V3" s="1" t="s">
        <v>2009</v>
      </c>
      <c r="W3" s="12" t="s">
        <v>2010</v>
      </c>
      <c r="X3" s="12">
        <v>2.7500000000000003E-3</v>
      </c>
      <c r="Y3" s="12">
        <v>1.9800000000000002</v>
      </c>
      <c r="Z3" s="12" t="s">
        <v>2011</v>
      </c>
      <c r="AA3" s="14" t="str">
        <f>HYPERLINK("https://gcsvt.ru/svetodiodnyie-svetilniki/svt-spc-med-uv-antibiotik-25/","Ссылка")</f>
        <v>Ссылка</v>
      </c>
      <c r="AB3" s="17">
        <v>12065</v>
      </c>
      <c r="AC3" s="17">
        <v>10646</v>
      </c>
      <c r="AD3" s="17">
        <v>10291</v>
      </c>
      <c r="AE3" s="17">
        <v>9581</v>
      </c>
    </row>
    <row r="4" spans="1:31" ht="39.950000000000003" customHeight="1" x14ac:dyDescent="0.25">
      <c r="A4" s="1"/>
      <c r="B4" s="12" t="s">
        <v>2002</v>
      </c>
      <c r="C4" s="1" t="s">
        <v>2013</v>
      </c>
      <c r="E4" s="12">
        <v>4.9000000000000004</v>
      </c>
      <c r="F4" s="12">
        <v>18</v>
      </c>
      <c r="G4" s="19" t="s">
        <v>2411</v>
      </c>
      <c r="H4" s="7">
        <v>50</v>
      </c>
      <c r="I4" s="7"/>
      <c r="J4" s="12" t="s">
        <v>2005</v>
      </c>
      <c r="K4" s="1" t="s">
        <v>2015</v>
      </c>
      <c r="L4" s="12" t="s">
        <v>2018</v>
      </c>
      <c r="M4" s="12" t="s">
        <v>2424</v>
      </c>
      <c r="N4" s="3" t="s">
        <v>2014</v>
      </c>
      <c r="O4" s="12">
        <v>20</v>
      </c>
      <c r="P4" s="12" t="s">
        <v>389</v>
      </c>
      <c r="Q4" s="1" t="s">
        <v>106</v>
      </c>
      <c r="R4" s="12" t="s">
        <v>1618</v>
      </c>
      <c r="S4" s="12" t="s">
        <v>108</v>
      </c>
      <c r="T4" s="12" t="s">
        <v>2427</v>
      </c>
      <c r="U4" s="1" t="s">
        <v>2008</v>
      </c>
      <c r="V4" s="1" t="s">
        <v>2016</v>
      </c>
      <c r="W4" s="12" t="s">
        <v>2017</v>
      </c>
      <c r="X4" s="12">
        <v>7.3700000000000007E-3</v>
      </c>
      <c r="Y4" s="12">
        <v>4.2350000000000003</v>
      </c>
      <c r="Z4" s="12" t="s">
        <v>2011</v>
      </c>
      <c r="AA4" s="14" t="str">
        <f>HYPERLINK("https://gcsvt.ru/svetodiodnyie-svetilniki/svt-spc-med-uv-antibiotik/","Ссылка")</f>
        <v>Ссылка</v>
      </c>
      <c r="AB4" s="17">
        <v>8749</v>
      </c>
      <c r="AC4" s="17">
        <v>7719</v>
      </c>
      <c r="AD4" s="17">
        <v>7462</v>
      </c>
      <c r="AE4" s="17">
        <v>6948</v>
      </c>
    </row>
    <row r="5" spans="1:31" ht="39.950000000000003" customHeight="1" x14ac:dyDescent="0.25">
      <c r="A5" s="1"/>
      <c r="B5" s="12" t="s">
        <v>2002</v>
      </c>
      <c r="C5" s="1" t="s">
        <v>2022</v>
      </c>
      <c r="E5" s="12">
        <v>4.9000000000000004</v>
      </c>
      <c r="F5" s="12">
        <v>18</v>
      </c>
      <c r="G5" s="19" t="s">
        <v>2411</v>
      </c>
      <c r="H5" s="7">
        <v>50</v>
      </c>
      <c r="I5" s="7" t="s">
        <v>2422</v>
      </c>
      <c r="J5" s="12" t="s">
        <v>2005</v>
      </c>
      <c r="K5" s="1" t="s">
        <v>2015</v>
      </c>
      <c r="L5" s="12" t="s">
        <v>2018</v>
      </c>
      <c r="M5" s="12" t="s">
        <v>2424</v>
      </c>
      <c r="N5" s="3" t="s">
        <v>2023</v>
      </c>
      <c r="O5" s="12">
        <v>20</v>
      </c>
      <c r="P5" s="12" t="s">
        <v>389</v>
      </c>
      <c r="Q5" s="1" t="s">
        <v>106</v>
      </c>
      <c r="R5" s="12" t="s">
        <v>1618</v>
      </c>
      <c r="S5" s="12" t="s">
        <v>108</v>
      </c>
      <c r="T5" s="12" t="s">
        <v>2427</v>
      </c>
      <c r="U5" s="1" t="s">
        <v>2008</v>
      </c>
      <c r="V5" s="1" t="s">
        <v>2016</v>
      </c>
      <c r="W5" s="12" t="s">
        <v>2017</v>
      </c>
      <c r="X5" s="12">
        <v>7.3700000000000007E-3</v>
      </c>
      <c r="Y5" s="12">
        <v>4.2350000000000003</v>
      </c>
      <c r="Z5" s="12" t="s">
        <v>2011</v>
      </c>
      <c r="AA5" s="14" t="str">
        <f>HYPERLINK("https://gcsvt.ru/svetodiodnyie-svetilniki/svt-spc-med-uv-antibiotik-clk/","Ссылка")</f>
        <v>Ссылка</v>
      </c>
      <c r="AB5" s="17">
        <v>10357</v>
      </c>
      <c r="AC5" s="17">
        <v>9138</v>
      </c>
      <c r="AD5" s="17">
        <v>8834</v>
      </c>
      <c r="AE5" s="17">
        <v>8225</v>
      </c>
    </row>
    <row r="6" spans="1:31" ht="39.950000000000003" customHeight="1" x14ac:dyDescent="0.25">
      <c r="A6" s="1"/>
      <c r="B6" s="12" t="s">
        <v>2002</v>
      </c>
      <c r="C6" s="1" t="s">
        <v>2019</v>
      </c>
      <c r="E6" s="12">
        <f>2*4.9</f>
        <v>9.8000000000000007</v>
      </c>
      <c r="F6" s="12">
        <v>36</v>
      </c>
      <c r="G6" s="19" t="s">
        <v>2412</v>
      </c>
      <c r="H6" s="7">
        <v>100</v>
      </c>
      <c r="I6" s="7"/>
      <c r="J6" s="12" t="s">
        <v>2005</v>
      </c>
      <c r="K6" s="1" t="s">
        <v>2021</v>
      </c>
      <c r="L6" s="12" t="s">
        <v>2018</v>
      </c>
      <c r="M6" s="12" t="s">
        <v>2424</v>
      </c>
      <c r="N6" s="3" t="s">
        <v>2020</v>
      </c>
      <c r="O6" s="12">
        <v>20</v>
      </c>
      <c r="P6" s="12" t="s">
        <v>389</v>
      </c>
      <c r="Q6" s="1" t="s">
        <v>106</v>
      </c>
      <c r="R6" s="12" t="s">
        <v>1618</v>
      </c>
      <c r="S6" s="12" t="s">
        <v>108</v>
      </c>
      <c r="T6" s="12" t="s">
        <v>2427</v>
      </c>
      <c r="U6" s="1" t="s">
        <v>2008</v>
      </c>
      <c r="V6" s="1" t="s">
        <v>2016</v>
      </c>
      <c r="W6" s="12" t="s">
        <v>2017</v>
      </c>
      <c r="X6" s="12">
        <v>7.3700000000000007E-3</v>
      </c>
      <c r="Y6" s="12">
        <v>4.29</v>
      </c>
      <c r="Z6" s="12" t="s">
        <v>2011</v>
      </c>
      <c r="AA6" s="14" t="str">
        <f>HYPERLINK("https://gcsvt.ru/svetodiodnyie-svetilniki/svt-spc-med-uv-antibiotik-2x15/","Ссылка")</f>
        <v>Ссылка</v>
      </c>
      <c r="AB6" s="17">
        <v>12118</v>
      </c>
      <c r="AC6" s="17">
        <v>10692</v>
      </c>
      <c r="AD6" s="17">
        <v>10336</v>
      </c>
      <c r="AE6" s="17">
        <v>9623</v>
      </c>
    </row>
    <row r="7" spans="1:31" ht="39.950000000000003" customHeight="1" x14ac:dyDescent="0.25">
      <c r="A7" s="1"/>
      <c r="B7" s="12" t="s">
        <v>2002</v>
      </c>
      <c r="C7" s="1" t="s">
        <v>2024</v>
      </c>
      <c r="E7" s="12">
        <f>2*4.9</f>
        <v>9.8000000000000007</v>
      </c>
      <c r="F7" s="12">
        <v>36</v>
      </c>
      <c r="G7" s="19" t="s">
        <v>2412</v>
      </c>
      <c r="H7" s="7">
        <v>100</v>
      </c>
      <c r="I7" s="7" t="s">
        <v>2422</v>
      </c>
      <c r="J7" s="12" t="s">
        <v>2005</v>
      </c>
      <c r="K7" s="1" t="s">
        <v>2021</v>
      </c>
      <c r="L7" s="12" t="s">
        <v>2018</v>
      </c>
      <c r="M7" s="12" t="s">
        <v>2424</v>
      </c>
      <c r="N7" s="3" t="s">
        <v>2025</v>
      </c>
      <c r="O7" s="12">
        <v>20</v>
      </c>
      <c r="P7" s="12" t="s">
        <v>389</v>
      </c>
      <c r="Q7" s="1" t="s">
        <v>106</v>
      </c>
      <c r="R7" s="12" t="s">
        <v>1618</v>
      </c>
      <c r="S7" s="12" t="s">
        <v>108</v>
      </c>
      <c r="T7" s="12" t="s">
        <v>2427</v>
      </c>
      <c r="U7" s="1" t="s">
        <v>2008</v>
      </c>
      <c r="V7" s="1" t="s">
        <v>2016</v>
      </c>
      <c r="W7" s="12" t="s">
        <v>2017</v>
      </c>
      <c r="X7" s="12">
        <v>7.3700000000000007E-3</v>
      </c>
      <c r="Y7" s="12">
        <v>4.29</v>
      </c>
      <c r="Z7" s="12" t="s">
        <v>2011</v>
      </c>
      <c r="AA7" s="14" t="str">
        <f>HYPERLINK("https://gcsvt.ru/svetodiodnyie-svetilniki/svt-spc-med-uv-antibiotik-2x15-clk/","Ссылка")</f>
        <v>Ссылка</v>
      </c>
      <c r="AB7" s="17">
        <v>13770</v>
      </c>
      <c r="AC7" s="17">
        <v>12150</v>
      </c>
      <c r="AD7" s="17">
        <v>11745</v>
      </c>
      <c r="AE7" s="17">
        <v>10935</v>
      </c>
    </row>
    <row r="8" spans="1:31" ht="39.950000000000003" customHeight="1" x14ac:dyDescent="0.25">
      <c r="A8" s="1"/>
      <c r="B8" s="12" t="s">
        <v>2002</v>
      </c>
      <c r="C8" s="1" t="s">
        <v>2026</v>
      </c>
      <c r="E8" s="12">
        <v>4.9000000000000004</v>
      </c>
      <c r="F8" s="12">
        <v>18</v>
      </c>
      <c r="G8" s="19" t="s">
        <v>2411</v>
      </c>
      <c r="H8" s="7">
        <v>50</v>
      </c>
      <c r="I8" s="7"/>
      <c r="J8" s="12" t="s">
        <v>2005</v>
      </c>
      <c r="K8" s="1" t="s">
        <v>2015</v>
      </c>
      <c r="L8" s="12" t="s">
        <v>2018</v>
      </c>
      <c r="M8" s="12" t="s">
        <v>2424</v>
      </c>
      <c r="N8" s="3" t="s">
        <v>2027</v>
      </c>
      <c r="O8" s="12">
        <v>20</v>
      </c>
      <c r="P8" s="12" t="s">
        <v>389</v>
      </c>
      <c r="Q8" s="1" t="s">
        <v>106</v>
      </c>
      <c r="R8" s="12" t="s">
        <v>1618</v>
      </c>
      <c r="S8" s="12" t="s">
        <v>108</v>
      </c>
      <c r="T8" s="12" t="s">
        <v>2427</v>
      </c>
      <c r="U8" s="1" t="s">
        <v>2008</v>
      </c>
      <c r="V8" s="1" t="s">
        <v>2016</v>
      </c>
      <c r="W8" s="12" t="s">
        <v>2028</v>
      </c>
      <c r="X8" s="12">
        <v>6.9300000000000004E-3</v>
      </c>
      <c r="Y8" s="12">
        <v>4.2350000000000003</v>
      </c>
      <c r="Z8" s="12" t="s">
        <v>2011</v>
      </c>
      <c r="AA8" s="14" t="str">
        <f>HYPERLINK("https://gcsvt.ru/svetodiodnyie-svetilniki/svt-spc-med-uv-antibiotik-s/","Ссылка")</f>
        <v>Ссылка</v>
      </c>
      <c r="AB8" s="17">
        <v>8749</v>
      </c>
      <c r="AC8" s="17">
        <v>7719</v>
      </c>
      <c r="AD8" s="17">
        <v>7462</v>
      </c>
      <c r="AE8" s="17">
        <v>6948</v>
      </c>
    </row>
    <row r="9" spans="1:31" ht="39.950000000000003" customHeight="1" x14ac:dyDescent="0.25">
      <c r="A9" s="1"/>
      <c r="B9" s="12" t="s">
        <v>2002</v>
      </c>
      <c r="C9" s="1" t="s">
        <v>2031</v>
      </c>
      <c r="E9" s="12">
        <v>4.9000000000000004</v>
      </c>
      <c r="F9" s="12">
        <v>18</v>
      </c>
      <c r="G9" s="19" t="s">
        <v>2411</v>
      </c>
      <c r="H9" s="7">
        <v>50</v>
      </c>
      <c r="I9" s="7" t="s">
        <v>2422</v>
      </c>
      <c r="J9" s="12" t="s">
        <v>2005</v>
      </c>
      <c r="K9" s="1" t="s">
        <v>2015</v>
      </c>
      <c r="L9" s="12" t="s">
        <v>2018</v>
      </c>
      <c r="M9" s="12" t="s">
        <v>2424</v>
      </c>
      <c r="N9" s="3" t="s">
        <v>2032</v>
      </c>
      <c r="O9" s="12">
        <v>20</v>
      </c>
      <c r="P9" s="12" t="s">
        <v>389</v>
      </c>
      <c r="Q9" s="1" t="s">
        <v>106</v>
      </c>
      <c r="R9" s="12" t="s">
        <v>1618</v>
      </c>
      <c r="S9" s="12" t="s">
        <v>108</v>
      </c>
      <c r="T9" s="12" t="s">
        <v>2427</v>
      </c>
      <c r="U9" s="1" t="s">
        <v>2008</v>
      </c>
      <c r="V9" s="1" t="s">
        <v>2016</v>
      </c>
      <c r="W9" s="12" t="s">
        <v>2028</v>
      </c>
      <c r="X9" s="12">
        <v>6.9300000000000004E-3</v>
      </c>
      <c r="Y9" s="12">
        <v>4.2350000000000003</v>
      </c>
      <c r="Z9" s="12" t="s">
        <v>2011</v>
      </c>
      <c r="AA9" s="14" t="str">
        <f>HYPERLINK("https://gcsvt.ru/svetodiodnyie-svetilniki/svt-spc-med-uv-antibiotik-s-clk/","Ссылка")</f>
        <v>Ссылка</v>
      </c>
      <c r="AB9" s="17">
        <v>10357</v>
      </c>
      <c r="AC9" s="17">
        <v>9138</v>
      </c>
      <c r="AD9" s="17">
        <v>8834</v>
      </c>
      <c r="AE9" s="17">
        <v>8225</v>
      </c>
    </row>
    <row r="10" spans="1:31" ht="39.950000000000003" customHeight="1" x14ac:dyDescent="0.25">
      <c r="A10" s="1"/>
      <c r="B10" s="12" t="s">
        <v>2002</v>
      </c>
      <c r="C10" s="1" t="s">
        <v>2029</v>
      </c>
      <c r="E10" s="12">
        <f>2*4.9</f>
        <v>9.8000000000000007</v>
      </c>
      <c r="F10" s="12">
        <v>36</v>
      </c>
      <c r="G10" s="19" t="s">
        <v>2412</v>
      </c>
      <c r="H10" s="7">
        <v>100</v>
      </c>
      <c r="I10" s="7"/>
      <c r="J10" s="12" t="s">
        <v>2005</v>
      </c>
      <c r="K10" s="1" t="s">
        <v>2021</v>
      </c>
      <c r="L10" s="12" t="s">
        <v>2018</v>
      </c>
      <c r="M10" s="12" t="s">
        <v>2424</v>
      </c>
      <c r="N10" s="3" t="s">
        <v>2030</v>
      </c>
      <c r="O10" s="12">
        <v>20</v>
      </c>
      <c r="P10" s="12" t="s">
        <v>389</v>
      </c>
      <c r="Q10" s="1" t="s">
        <v>106</v>
      </c>
      <c r="R10" s="12" t="s">
        <v>1618</v>
      </c>
      <c r="S10" s="12" t="s">
        <v>108</v>
      </c>
      <c r="T10" s="12" t="s">
        <v>2427</v>
      </c>
      <c r="U10" s="1" t="s">
        <v>2008</v>
      </c>
      <c r="V10" s="1" t="s">
        <v>2016</v>
      </c>
      <c r="W10" s="12" t="s">
        <v>2028</v>
      </c>
      <c r="X10" s="12">
        <v>6.9300000000000004E-3</v>
      </c>
      <c r="Y10" s="12">
        <v>4.29</v>
      </c>
      <c r="Z10" s="12" t="s">
        <v>2011</v>
      </c>
      <c r="AA10" s="14" t="str">
        <f>HYPERLINK("https://gcsvt.ru/svetodiodnyie-svetilniki/svt-spc-med-uv-antibiotik-s-2x15/","Ссылка")</f>
        <v>Ссылка</v>
      </c>
      <c r="AB10" s="17">
        <v>12118</v>
      </c>
      <c r="AC10" s="17">
        <v>10692</v>
      </c>
      <c r="AD10" s="17">
        <v>10336</v>
      </c>
      <c r="AE10" s="17">
        <v>9623</v>
      </c>
    </row>
    <row r="11" spans="1:31" ht="39.950000000000003" customHeight="1" x14ac:dyDescent="0.25">
      <c r="A11" s="1"/>
      <c r="B11" s="12" t="s">
        <v>2002</v>
      </c>
      <c r="C11" s="1" t="s">
        <v>2033</v>
      </c>
      <c r="E11" s="12">
        <f>2*4.9</f>
        <v>9.8000000000000007</v>
      </c>
      <c r="F11" s="12">
        <v>36</v>
      </c>
      <c r="G11" s="19" t="s">
        <v>2412</v>
      </c>
      <c r="H11" s="7">
        <v>100</v>
      </c>
      <c r="I11" s="7" t="s">
        <v>2422</v>
      </c>
      <c r="J11" s="12" t="s">
        <v>2005</v>
      </c>
      <c r="K11" s="1" t="s">
        <v>2021</v>
      </c>
      <c r="L11" s="12" t="s">
        <v>2018</v>
      </c>
      <c r="M11" s="12" t="s">
        <v>2424</v>
      </c>
      <c r="N11" s="3" t="s">
        <v>2034</v>
      </c>
      <c r="O11" s="12">
        <v>20</v>
      </c>
      <c r="P11" s="12" t="s">
        <v>389</v>
      </c>
      <c r="Q11" s="1" t="s">
        <v>106</v>
      </c>
      <c r="R11" s="12" t="s">
        <v>1618</v>
      </c>
      <c r="S11" s="12" t="s">
        <v>108</v>
      </c>
      <c r="T11" s="12" t="s">
        <v>2427</v>
      </c>
      <c r="U11" s="1" t="s">
        <v>2008</v>
      </c>
      <c r="V11" s="1" t="s">
        <v>2016</v>
      </c>
      <c r="W11" s="12" t="s">
        <v>2028</v>
      </c>
      <c r="X11" s="12">
        <v>6.9300000000000004E-3</v>
      </c>
      <c r="Y11" s="12">
        <v>4.29</v>
      </c>
      <c r="Z11" s="12" t="s">
        <v>2011</v>
      </c>
      <c r="AA11" s="14" t="str">
        <f>HYPERLINK("https://gcsvt.ru/svetodiodnyie-svetilniki/svt-spc-med-uv-antibiotik-s-2x15-clk/","Ссылка")</f>
        <v>Ссылка</v>
      </c>
      <c r="AB11" s="17">
        <v>13770</v>
      </c>
      <c r="AC11" s="17">
        <v>12150</v>
      </c>
      <c r="AD11" s="17">
        <v>11745</v>
      </c>
      <c r="AE11" s="17">
        <v>10935</v>
      </c>
    </row>
    <row r="12" spans="1:31" ht="39.950000000000003" customHeight="1" x14ac:dyDescent="0.25">
      <c r="A12" s="1"/>
      <c r="B12" s="12" t="s">
        <v>2002</v>
      </c>
      <c r="C12" s="1" t="s">
        <v>2035</v>
      </c>
      <c r="E12" s="12">
        <v>18</v>
      </c>
      <c r="F12" s="12">
        <v>64</v>
      </c>
      <c r="G12" s="19" t="s">
        <v>2413</v>
      </c>
      <c r="H12" s="7">
        <v>150</v>
      </c>
      <c r="I12" s="7"/>
      <c r="J12" s="12" t="s">
        <v>2005</v>
      </c>
      <c r="K12" s="1" t="s">
        <v>2037</v>
      </c>
      <c r="L12" s="12" t="s">
        <v>2018</v>
      </c>
      <c r="M12" s="12" t="s">
        <v>2424</v>
      </c>
      <c r="N12" s="3" t="s">
        <v>2036</v>
      </c>
      <c r="O12" s="12">
        <v>20</v>
      </c>
      <c r="P12" s="12" t="s">
        <v>389</v>
      </c>
      <c r="Q12" s="1" t="s">
        <v>106</v>
      </c>
      <c r="R12" s="12" t="s">
        <v>1618</v>
      </c>
      <c r="S12" s="12" t="s">
        <v>108</v>
      </c>
      <c r="T12" s="12" t="s">
        <v>2427</v>
      </c>
      <c r="U12" s="1" t="s">
        <v>2008</v>
      </c>
      <c r="V12" s="1" t="s">
        <v>2038</v>
      </c>
      <c r="W12" s="12" t="s">
        <v>2039</v>
      </c>
      <c r="X12" s="12">
        <v>1.2320000000000001E-2</v>
      </c>
      <c r="Y12" s="12">
        <v>6.6000000000000005</v>
      </c>
      <c r="Z12" s="12" t="s">
        <v>2011</v>
      </c>
      <c r="AA12" s="14" t="str">
        <f>HYPERLINK("https://gcsvt.ru/svetodiodnyie-svetilniki/svt-spc-med-uv-antibiotik-150/","Ссылка")</f>
        <v>Ссылка</v>
      </c>
      <c r="AB12" s="17">
        <v>16834</v>
      </c>
      <c r="AC12" s="17">
        <v>14853</v>
      </c>
      <c r="AD12" s="17">
        <v>14358</v>
      </c>
      <c r="AE12" s="17">
        <v>13368</v>
      </c>
    </row>
    <row r="13" spans="1:31" ht="39.950000000000003" customHeight="1" x14ac:dyDescent="0.25">
      <c r="A13" s="1"/>
      <c r="B13" s="12" t="s">
        <v>2002</v>
      </c>
      <c r="C13" s="1" t="s">
        <v>2045</v>
      </c>
      <c r="E13" s="12">
        <v>18</v>
      </c>
      <c r="F13" s="12">
        <v>64</v>
      </c>
      <c r="G13" s="19" t="s">
        <v>2413</v>
      </c>
      <c r="H13" s="7">
        <v>150</v>
      </c>
      <c r="I13" s="7" t="s">
        <v>2422</v>
      </c>
      <c r="J13" s="12" t="s">
        <v>2005</v>
      </c>
      <c r="K13" s="1" t="s">
        <v>2037</v>
      </c>
      <c r="L13" s="12" t="s">
        <v>2018</v>
      </c>
      <c r="M13" s="12" t="s">
        <v>2424</v>
      </c>
      <c r="N13" s="3" t="s">
        <v>2046</v>
      </c>
      <c r="O13" s="12">
        <v>20</v>
      </c>
      <c r="P13" s="12" t="s">
        <v>389</v>
      </c>
      <c r="Q13" s="1" t="s">
        <v>106</v>
      </c>
      <c r="R13" s="12" t="s">
        <v>1618</v>
      </c>
      <c r="S13" s="12" t="s">
        <v>108</v>
      </c>
      <c r="T13" s="12" t="s">
        <v>2427</v>
      </c>
      <c r="U13" s="1" t="s">
        <v>2008</v>
      </c>
      <c r="V13" s="1" t="s">
        <v>2038</v>
      </c>
      <c r="W13" s="12" t="s">
        <v>2039</v>
      </c>
      <c r="X13" s="12">
        <v>1.2320000000000001E-2</v>
      </c>
      <c r="Y13" s="12">
        <v>6.6000000000000005</v>
      </c>
      <c r="Z13" s="12" t="s">
        <v>2011</v>
      </c>
      <c r="AA13" s="14" t="str">
        <f>HYPERLINK("https://gcsvt.ru/svetodiodnyie-svetilniki/svt-spc-med-uv-antibiotik-150-clk/","Ссылка")</f>
        <v>Ссылка</v>
      </c>
      <c r="AB13" s="17">
        <v>18508</v>
      </c>
      <c r="AC13" s="17">
        <v>16331</v>
      </c>
      <c r="AD13" s="17">
        <v>15787</v>
      </c>
      <c r="AE13" s="17">
        <v>14698</v>
      </c>
    </row>
    <row r="14" spans="1:31" ht="39.950000000000003" customHeight="1" x14ac:dyDescent="0.25">
      <c r="A14" s="1"/>
      <c r="B14" s="12" t="s">
        <v>2002</v>
      </c>
      <c r="C14" s="1" t="s">
        <v>2040</v>
      </c>
      <c r="E14" s="12">
        <v>36</v>
      </c>
      <c r="F14" s="12">
        <v>67</v>
      </c>
      <c r="G14" s="19" t="s">
        <v>2414</v>
      </c>
      <c r="H14" s="7">
        <v>200</v>
      </c>
      <c r="I14" s="7"/>
      <c r="J14" s="12" t="s">
        <v>2005</v>
      </c>
      <c r="K14" s="1" t="s">
        <v>2037</v>
      </c>
      <c r="L14" s="12" t="s">
        <v>2018</v>
      </c>
      <c r="M14" s="12" t="s">
        <v>2424</v>
      </c>
      <c r="N14" s="3" t="s">
        <v>2041</v>
      </c>
      <c r="O14" s="12">
        <v>20</v>
      </c>
      <c r="P14" s="12" t="s">
        <v>389</v>
      </c>
      <c r="Q14" s="1" t="s">
        <v>106</v>
      </c>
      <c r="R14" s="12" t="s">
        <v>1618</v>
      </c>
      <c r="S14" s="12" t="s">
        <v>108</v>
      </c>
      <c r="T14" s="12" t="s">
        <v>2427</v>
      </c>
      <c r="U14" s="1" t="s">
        <v>2008</v>
      </c>
      <c r="V14" s="1" t="s">
        <v>2038</v>
      </c>
      <c r="W14" s="12" t="s">
        <v>2039</v>
      </c>
      <c r="X14" s="12">
        <v>1.2320000000000001E-2</v>
      </c>
      <c r="Y14" s="12">
        <v>6.71</v>
      </c>
      <c r="Z14" s="12" t="s">
        <v>2011</v>
      </c>
      <c r="AA14" s="14" t="str">
        <f>HYPERLINK("https://gcsvt.ru/svetodiodnyie-svetilniki/svt-spc-med-uv-antibiotik-200/","Ссылка")</f>
        <v>Ссылка</v>
      </c>
      <c r="AB14" s="17">
        <v>18068</v>
      </c>
      <c r="AC14" s="17">
        <v>15942</v>
      </c>
      <c r="AD14" s="17">
        <v>15411</v>
      </c>
      <c r="AE14" s="17">
        <v>14348</v>
      </c>
    </row>
    <row r="15" spans="1:31" ht="39.950000000000003" customHeight="1" x14ac:dyDescent="0.25">
      <c r="A15" s="1"/>
      <c r="B15" s="12" t="s">
        <v>2002</v>
      </c>
      <c r="C15" s="1" t="s">
        <v>2047</v>
      </c>
      <c r="E15" s="12">
        <v>36</v>
      </c>
      <c r="F15" s="12">
        <v>67</v>
      </c>
      <c r="G15" s="19" t="s">
        <v>2414</v>
      </c>
      <c r="H15" s="7">
        <v>200</v>
      </c>
      <c r="I15" s="7" t="s">
        <v>2422</v>
      </c>
      <c r="J15" s="12" t="s">
        <v>2005</v>
      </c>
      <c r="K15" s="1" t="s">
        <v>2037</v>
      </c>
      <c r="L15" s="12" t="s">
        <v>2018</v>
      </c>
      <c r="M15" s="12" t="s">
        <v>2424</v>
      </c>
      <c r="N15" s="3" t="s">
        <v>2048</v>
      </c>
      <c r="O15" s="12">
        <v>20</v>
      </c>
      <c r="P15" s="12" t="s">
        <v>389</v>
      </c>
      <c r="Q15" s="1" t="s">
        <v>106</v>
      </c>
      <c r="R15" s="12" t="s">
        <v>1618</v>
      </c>
      <c r="S15" s="12" t="s">
        <v>108</v>
      </c>
      <c r="T15" s="12" t="s">
        <v>2427</v>
      </c>
      <c r="U15" s="1" t="s">
        <v>2008</v>
      </c>
      <c r="V15" s="1" t="s">
        <v>2038</v>
      </c>
      <c r="W15" s="12" t="s">
        <v>2039</v>
      </c>
      <c r="X15" s="12">
        <v>1.2320000000000001E-2</v>
      </c>
      <c r="Y15" s="12">
        <v>6.71</v>
      </c>
      <c r="Z15" s="12" t="s">
        <v>2011</v>
      </c>
      <c r="AA15" s="14" t="str">
        <f>HYPERLINK("https://gcsvt.ru/svetodiodnyie-svetilniki/svt-spc-med-uv-antibiotik-200-clk/","Ссылка")</f>
        <v>Ссылка</v>
      </c>
      <c r="AB15" s="17">
        <v>19610</v>
      </c>
      <c r="AC15" s="17">
        <v>17303</v>
      </c>
      <c r="AD15" s="17">
        <v>16726</v>
      </c>
      <c r="AE15" s="17">
        <v>15573</v>
      </c>
    </row>
    <row r="16" spans="1:31" ht="39.950000000000003" customHeight="1" x14ac:dyDescent="0.25">
      <c r="A16" s="1"/>
      <c r="B16" s="12" t="s">
        <v>2002</v>
      </c>
      <c r="C16" s="1" t="s">
        <v>2042</v>
      </c>
      <c r="E16" s="12">
        <v>36</v>
      </c>
      <c r="F16" s="12">
        <v>128</v>
      </c>
      <c r="G16" s="19" t="s">
        <v>2415</v>
      </c>
      <c r="H16" s="7">
        <v>300</v>
      </c>
      <c r="I16" s="7"/>
      <c r="J16" s="12" t="s">
        <v>2005</v>
      </c>
      <c r="K16" s="1" t="s">
        <v>2044</v>
      </c>
      <c r="L16" s="12" t="s">
        <v>2018</v>
      </c>
      <c r="M16" s="12" t="s">
        <v>2424</v>
      </c>
      <c r="N16" s="3" t="s">
        <v>2043</v>
      </c>
      <c r="O16" s="12">
        <v>20</v>
      </c>
      <c r="P16" s="12" t="s">
        <v>389</v>
      </c>
      <c r="Q16" s="1" t="s">
        <v>106</v>
      </c>
      <c r="R16" s="12" t="s">
        <v>1618</v>
      </c>
      <c r="S16" s="12" t="s">
        <v>108</v>
      </c>
      <c r="T16" s="12" t="s">
        <v>2427</v>
      </c>
      <c r="U16" s="1" t="s">
        <v>2008</v>
      </c>
      <c r="V16" s="1" t="s">
        <v>2038</v>
      </c>
      <c r="W16" s="12" t="s">
        <v>2039</v>
      </c>
      <c r="X16" s="12">
        <v>1.2320000000000001E-2</v>
      </c>
      <c r="Y16" s="12">
        <v>6.8200000000000012</v>
      </c>
      <c r="Z16" s="12" t="s">
        <v>2011</v>
      </c>
      <c r="AA16" s="14" t="str">
        <f>HYPERLINK("https://gcsvt.ru/svetodiodnyie-svetilniki/svt-spc-med-uv-antibiotik-300/","Ссылка")</f>
        <v>Ссылка</v>
      </c>
      <c r="AB16" s="17">
        <v>22032</v>
      </c>
      <c r="AC16" s="17">
        <v>19440</v>
      </c>
      <c r="AD16" s="17">
        <v>18792</v>
      </c>
      <c r="AE16" s="17">
        <v>17496</v>
      </c>
    </row>
    <row r="17" spans="1:31" ht="39.950000000000003" customHeight="1" x14ac:dyDescent="0.25">
      <c r="A17" s="1"/>
      <c r="B17" s="12" t="s">
        <v>2002</v>
      </c>
      <c r="C17" s="1" t="s">
        <v>2049</v>
      </c>
      <c r="E17" s="12">
        <v>36</v>
      </c>
      <c r="F17" s="12">
        <v>128</v>
      </c>
      <c r="G17" s="19" t="s">
        <v>2415</v>
      </c>
      <c r="H17" s="7">
        <v>300</v>
      </c>
      <c r="I17" s="7" t="s">
        <v>2422</v>
      </c>
      <c r="J17" s="12" t="s">
        <v>2005</v>
      </c>
      <c r="K17" s="1" t="s">
        <v>2044</v>
      </c>
      <c r="L17" s="12" t="s">
        <v>2018</v>
      </c>
      <c r="M17" s="12" t="s">
        <v>2424</v>
      </c>
      <c r="N17" s="3" t="s">
        <v>2050</v>
      </c>
      <c r="O17" s="12">
        <v>20</v>
      </c>
      <c r="P17" s="12" t="s">
        <v>389</v>
      </c>
      <c r="Q17" s="1" t="s">
        <v>106</v>
      </c>
      <c r="R17" s="12" t="s">
        <v>1618</v>
      </c>
      <c r="S17" s="12" t="s">
        <v>108</v>
      </c>
      <c r="T17" s="12" t="s">
        <v>2427</v>
      </c>
      <c r="U17" s="1" t="s">
        <v>2008</v>
      </c>
      <c r="V17" s="1" t="s">
        <v>2038</v>
      </c>
      <c r="W17" s="12" t="s">
        <v>2039</v>
      </c>
      <c r="X17" s="12">
        <v>1.2320000000000001E-2</v>
      </c>
      <c r="Y17" s="12">
        <v>6.8200000000000012</v>
      </c>
      <c r="Z17" s="12" t="s">
        <v>2011</v>
      </c>
      <c r="AA17" s="14" t="str">
        <f>HYPERLINK("https://gcsvt.ru/svetodiodnyie-svetilniki/svt-spc-med-uv-antibiotik-300-clk/","Ссылка")</f>
        <v>Ссылка</v>
      </c>
      <c r="AB17" s="17">
        <v>23685</v>
      </c>
      <c r="AC17" s="17">
        <v>20898</v>
      </c>
      <c r="AD17" s="17">
        <v>20202</v>
      </c>
      <c r="AE17" s="17">
        <v>18809</v>
      </c>
    </row>
    <row r="18" spans="1:31" ht="39.950000000000003" customHeight="1" x14ac:dyDescent="0.25">
      <c r="A18" s="1"/>
      <c r="B18" s="12" t="s">
        <v>2002</v>
      </c>
      <c r="C18" s="1" t="s">
        <v>2051</v>
      </c>
      <c r="G18" s="3"/>
      <c r="H18" s="7"/>
      <c r="I18" s="7"/>
      <c r="K18" s="1"/>
      <c r="N18" s="3" t="s">
        <v>2052</v>
      </c>
      <c r="U18" s="1" t="s">
        <v>1943</v>
      </c>
      <c r="W18" s="12" t="s">
        <v>2428</v>
      </c>
      <c r="X18" s="12">
        <v>2.3958E-3</v>
      </c>
      <c r="Y18" s="12">
        <v>0.44000000000000006</v>
      </c>
      <c r="AA18" s="14" t="str">
        <f>HYPERLINK("https://gcsvt.ru/svetodiodnyie-svetilniki/podstavka-dlya-retsirkulyatora-antibiotik-s/","Ссылка")</f>
        <v>Ссылка</v>
      </c>
      <c r="AB18" s="17">
        <v>1020</v>
      </c>
      <c r="AC18" s="17">
        <v>900</v>
      </c>
      <c r="AD18" s="17">
        <v>870</v>
      </c>
      <c r="AE18" s="17">
        <v>810</v>
      </c>
    </row>
    <row r="19" spans="1:31" ht="39.950000000000003" customHeight="1" x14ac:dyDescent="0.25">
      <c r="A19" s="1"/>
      <c r="B19" s="12" t="s">
        <v>2002</v>
      </c>
      <c r="C19" s="1" t="s">
        <v>2053</v>
      </c>
      <c r="G19" s="3"/>
      <c r="H19" s="7"/>
      <c r="I19" s="7"/>
      <c r="K19" s="1"/>
      <c r="N19" s="3" t="s">
        <v>2054</v>
      </c>
      <c r="U19" s="1" t="s">
        <v>1943</v>
      </c>
      <c r="W19" s="12" t="s">
        <v>2055</v>
      </c>
      <c r="X19" s="12">
        <v>0.11348480000000001</v>
      </c>
      <c r="Y19" s="12">
        <v>1.1000000000000001</v>
      </c>
      <c r="AA19" s="14" t="str">
        <f>HYPERLINK("https://gcsvt.ru/svetodiodnyie-svetilniki/stoyka-na-kolesakh-dlya-svt-spc-med-uv-antibiotik/","Ссылка")</f>
        <v>Ссылка</v>
      </c>
      <c r="AB19" s="17">
        <v>4261</v>
      </c>
      <c r="AC19" s="17">
        <v>3759</v>
      </c>
      <c r="AD19" s="17">
        <v>3634</v>
      </c>
      <c r="AE19" s="17">
        <v>3384</v>
      </c>
    </row>
    <row r="20" spans="1:31" ht="39.950000000000003" customHeight="1" x14ac:dyDescent="0.25">
      <c r="A20" s="1"/>
      <c r="B20" s="12" t="s">
        <v>2002</v>
      </c>
      <c r="C20" s="1" t="s">
        <v>2056</v>
      </c>
      <c r="G20" s="3"/>
      <c r="H20" s="7"/>
      <c r="I20" s="7"/>
      <c r="K20" s="1"/>
      <c r="N20" s="3" t="s">
        <v>2057</v>
      </c>
      <c r="U20" s="1" t="s">
        <v>1943</v>
      </c>
      <c r="W20" s="12" t="s">
        <v>2429</v>
      </c>
      <c r="X20" s="12">
        <v>0.1243968</v>
      </c>
      <c r="Y20" s="12">
        <v>1.1000000000000001</v>
      </c>
      <c r="AA20" s="14" t="str">
        <f>HYPERLINK("https://gcsvt.ru/svetodiodnyie-svetilniki/stoyka-na-kolesakh-dlya-svt-spc-med-uv-antibiotik-150-300/","Ссылка")</f>
        <v>Ссылка</v>
      </c>
      <c r="AB20" s="17">
        <v>7035</v>
      </c>
      <c r="AC20" s="17">
        <v>6207</v>
      </c>
      <c r="AD20" s="17">
        <v>6001</v>
      </c>
      <c r="AE20" s="17">
        <v>5587</v>
      </c>
    </row>
    <row r="21" spans="1:31" ht="39.950000000000003" customHeight="1" x14ac:dyDescent="0.25">
      <c r="A21" s="1"/>
      <c r="B21" s="12" t="s">
        <v>2002</v>
      </c>
      <c r="C21" s="1" t="s">
        <v>2058</v>
      </c>
      <c r="D21" s="12">
        <v>3200</v>
      </c>
      <c r="E21" s="12">
        <v>4.9000000000000004</v>
      </c>
      <c r="F21" s="12">
        <v>30</v>
      </c>
      <c r="G21" s="19" t="s">
        <v>2416</v>
      </c>
      <c r="H21" s="7">
        <v>50</v>
      </c>
      <c r="I21" s="7"/>
      <c r="J21" s="12" t="s">
        <v>2005</v>
      </c>
      <c r="K21" s="1" t="s">
        <v>2015</v>
      </c>
      <c r="L21" s="12" t="s">
        <v>2018</v>
      </c>
      <c r="M21" s="12" t="s">
        <v>2424</v>
      </c>
      <c r="N21" s="3" t="s">
        <v>2059</v>
      </c>
      <c r="O21" s="12">
        <v>20</v>
      </c>
      <c r="P21" s="12" t="s">
        <v>389</v>
      </c>
      <c r="Q21" s="1" t="s">
        <v>106</v>
      </c>
      <c r="R21" s="12" t="s">
        <v>1618</v>
      </c>
      <c r="S21" s="12" t="s">
        <v>67</v>
      </c>
      <c r="T21" s="12" t="s">
        <v>2427</v>
      </c>
      <c r="U21" s="1" t="s">
        <v>1943</v>
      </c>
      <c r="V21" s="1" t="s">
        <v>1956</v>
      </c>
      <c r="W21" s="12" t="s">
        <v>2430</v>
      </c>
      <c r="X21" s="12">
        <v>4.8678437499999998E-2</v>
      </c>
      <c r="Y21" s="12">
        <v>3.5090000000000003</v>
      </c>
      <c r="Z21" s="12" t="s">
        <v>2011</v>
      </c>
      <c r="AA21" s="14" t="str">
        <f>HYPERLINK("https://gcsvt.ru/svetodiodnyie-svetilniki/svt-spc-med-arm-595-595-uvc-18w-30w-5000k-pr/","Ссылка")</f>
        <v>Ссылка</v>
      </c>
      <c r="AB21" s="17">
        <v>12596</v>
      </c>
      <c r="AC21" s="17">
        <v>11114</v>
      </c>
      <c r="AD21" s="17">
        <v>10744</v>
      </c>
      <c r="AE21" s="17">
        <v>10003</v>
      </c>
    </row>
    <row r="22" spans="1:31" ht="39.950000000000003" customHeight="1" x14ac:dyDescent="0.25">
      <c r="A22" s="1"/>
      <c r="B22" s="12" t="s">
        <v>2002</v>
      </c>
      <c r="C22" s="1" t="s">
        <v>2061</v>
      </c>
      <c r="E22" s="12">
        <v>4.9000000000000004</v>
      </c>
      <c r="F22" s="12">
        <v>18</v>
      </c>
      <c r="G22" s="19" t="s">
        <v>2416</v>
      </c>
      <c r="H22" s="7">
        <v>50</v>
      </c>
      <c r="I22" s="7"/>
      <c r="J22" s="12" t="s">
        <v>2005</v>
      </c>
      <c r="K22" s="1" t="s">
        <v>2015</v>
      </c>
      <c r="L22" s="12" t="s">
        <v>2018</v>
      </c>
      <c r="M22" s="12" t="s">
        <v>2424</v>
      </c>
      <c r="N22" s="3" t="s">
        <v>2062</v>
      </c>
      <c r="O22" s="12">
        <v>20</v>
      </c>
      <c r="P22" s="12" t="s">
        <v>389</v>
      </c>
      <c r="Q22" s="1" t="s">
        <v>106</v>
      </c>
      <c r="R22" s="12" t="s">
        <v>1618</v>
      </c>
      <c r="S22" s="12" t="s">
        <v>67</v>
      </c>
      <c r="T22" s="12" t="s">
        <v>2427</v>
      </c>
      <c r="U22" s="1" t="s">
        <v>1943</v>
      </c>
      <c r="V22" s="1" t="s">
        <v>1956</v>
      </c>
      <c r="W22" s="12" t="s">
        <v>2431</v>
      </c>
      <c r="X22" s="12">
        <v>3.3101337500000001E-2</v>
      </c>
      <c r="Y22" s="12">
        <v>3.08</v>
      </c>
      <c r="Z22" s="12" t="s">
        <v>2011</v>
      </c>
      <c r="AA22" s="14" t="str">
        <f>HYPERLINK("https://gcsvt.ru/svetodiodnyie-svetilniki/svt-spc-med-arm-595-595-uvc-18w/","Ссылка")</f>
        <v>Ссылка</v>
      </c>
      <c r="AB22" s="17">
        <v>9345</v>
      </c>
      <c r="AC22" s="17">
        <v>8246</v>
      </c>
      <c r="AD22" s="17">
        <v>7971</v>
      </c>
      <c r="AE22" s="17">
        <v>7421</v>
      </c>
    </row>
    <row r="23" spans="1:31" ht="39.950000000000003" customHeight="1" x14ac:dyDescent="0.25">
      <c r="A23" s="1"/>
      <c r="B23" s="12" t="s">
        <v>2002</v>
      </c>
      <c r="C23" s="1" t="s">
        <v>2063</v>
      </c>
      <c r="E23" s="12">
        <v>4.9000000000000004</v>
      </c>
      <c r="F23" s="12">
        <v>16</v>
      </c>
      <c r="G23" s="19" t="s">
        <v>2416</v>
      </c>
      <c r="H23" s="7">
        <v>50</v>
      </c>
      <c r="I23" s="7"/>
      <c r="J23" s="12" t="s">
        <v>2005</v>
      </c>
      <c r="K23" s="1" t="s">
        <v>2015</v>
      </c>
      <c r="L23" s="12" t="s">
        <v>2018</v>
      </c>
      <c r="M23" s="12" t="s">
        <v>2424</v>
      </c>
      <c r="N23" s="19" t="s">
        <v>2064</v>
      </c>
      <c r="O23" s="12">
        <v>20</v>
      </c>
      <c r="P23" s="12" t="s">
        <v>389</v>
      </c>
      <c r="Q23" s="1" t="s">
        <v>106</v>
      </c>
      <c r="R23" s="12" t="s">
        <v>1618</v>
      </c>
      <c r="S23" s="12" t="s">
        <v>108</v>
      </c>
      <c r="T23" s="12" t="s">
        <v>2427</v>
      </c>
      <c r="U23" s="1" t="s">
        <v>2065</v>
      </c>
      <c r="V23" s="1" t="s">
        <v>2066</v>
      </c>
      <c r="W23" s="12" t="s">
        <v>2067</v>
      </c>
      <c r="X23" s="12">
        <v>3.0748575E-2</v>
      </c>
      <c r="Y23" s="12">
        <v>3.63</v>
      </c>
      <c r="Z23" s="12" t="s">
        <v>2011</v>
      </c>
      <c r="AA23" s="14" t="str">
        <f>HYPERLINK("https://gcsvt.ru/svetodiodnyie-svetilniki/svt-spc-med-doc-50-white/","Ссылка")</f>
        <v>Ссылка</v>
      </c>
      <c r="AB23" s="17">
        <v>16834</v>
      </c>
      <c r="AC23" s="17">
        <v>14853</v>
      </c>
      <c r="AD23" s="17">
        <v>14358</v>
      </c>
      <c r="AE23" s="17">
        <v>13368</v>
      </c>
    </row>
    <row r="24" spans="1:31" ht="39.950000000000003" customHeight="1" x14ac:dyDescent="0.25">
      <c r="A24" s="1"/>
      <c r="B24" s="12" t="s">
        <v>2002</v>
      </c>
      <c r="C24" s="1" t="s">
        <v>2072</v>
      </c>
      <c r="E24" s="12">
        <v>4.9000000000000004</v>
      </c>
      <c r="F24" s="12">
        <v>16</v>
      </c>
      <c r="G24" s="19" t="s">
        <v>2416</v>
      </c>
      <c r="H24" s="7">
        <v>50</v>
      </c>
      <c r="I24" s="7"/>
      <c r="J24" s="12" t="s">
        <v>2005</v>
      </c>
      <c r="K24" s="1" t="s">
        <v>2015</v>
      </c>
      <c r="L24" s="12" t="s">
        <v>2018</v>
      </c>
      <c r="M24" s="12" t="s">
        <v>2424</v>
      </c>
      <c r="N24" s="3" t="s">
        <v>2073</v>
      </c>
      <c r="O24" s="12">
        <v>20</v>
      </c>
      <c r="P24" s="12" t="s">
        <v>389</v>
      </c>
      <c r="Q24" s="1" t="s">
        <v>106</v>
      </c>
      <c r="R24" s="12" t="s">
        <v>1618</v>
      </c>
      <c r="S24" s="12" t="s">
        <v>108</v>
      </c>
      <c r="T24" s="12" t="s">
        <v>2426</v>
      </c>
      <c r="U24" s="1" t="s">
        <v>2065</v>
      </c>
      <c r="V24" s="1" t="s">
        <v>2066</v>
      </c>
      <c r="W24" s="12" t="s">
        <v>2067</v>
      </c>
      <c r="X24" s="12">
        <v>3.0748575E-2</v>
      </c>
      <c r="Y24" s="12">
        <v>3.63</v>
      </c>
      <c r="Z24" s="12" t="s">
        <v>2011</v>
      </c>
      <c r="AA24" s="14" t="str">
        <f>HYPERLINK("https://gcsvt.ru/svetodiodnyie-svetilniki/svt-spc-med-doc-50-black/","Ссылка")</f>
        <v>Ссылка</v>
      </c>
      <c r="AB24" s="17">
        <v>16834</v>
      </c>
      <c r="AC24" s="17">
        <v>14853</v>
      </c>
      <c r="AD24" s="17">
        <v>14358</v>
      </c>
      <c r="AE24" s="17">
        <v>13368</v>
      </c>
    </row>
    <row r="25" spans="1:31" ht="39.950000000000003" customHeight="1" x14ac:dyDescent="0.25">
      <c r="A25" s="1"/>
      <c r="B25" s="12" t="s">
        <v>2002</v>
      </c>
      <c r="C25" s="1" t="s">
        <v>2068</v>
      </c>
      <c r="E25" s="12">
        <v>9.8000000000000007</v>
      </c>
      <c r="F25" s="12">
        <v>32</v>
      </c>
      <c r="G25" s="19" t="s">
        <v>2417</v>
      </c>
      <c r="H25" s="7">
        <v>100</v>
      </c>
      <c r="I25" s="7"/>
      <c r="J25" s="12" t="s">
        <v>2005</v>
      </c>
      <c r="K25" s="1" t="s">
        <v>2021</v>
      </c>
      <c r="L25" s="12" t="s">
        <v>2018</v>
      </c>
      <c r="M25" s="12" t="s">
        <v>2424</v>
      </c>
      <c r="N25" s="19" t="s">
        <v>2069</v>
      </c>
      <c r="O25" s="12">
        <v>20</v>
      </c>
      <c r="P25" s="12" t="s">
        <v>389</v>
      </c>
      <c r="Q25" s="1" t="s">
        <v>106</v>
      </c>
      <c r="R25" s="12" t="s">
        <v>1618</v>
      </c>
      <c r="S25" s="12" t="s">
        <v>108</v>
      </c>
      <c r="T25" s="12" t="s">
        <v>2427</v>
      </c>
      <c r="U25" s="1" t="s">
        <v>2065</v>
      </c>
      <c r="V25" s="1" t="s">
        <v>2066</v>
      </c>
      <c r="W25" s="12" t="s">
        <v>2067</v>
      </c>
      <c r="X25" s="12">
        <v>3.0748575E-2</v>
      </c>
      <c r="Y25" s="12">
        <v>3.63</v>
      </c>
      <c r="Z25" s="12" t="s">
        <v>2011</v>
      </c>
      <c r="AA25" s="14" t="str">
        <f>HYPERLINK("https://gcsvt.ru/svetodiodnyie-svetilniki/svt-spc-med-doc-100-white/","Ссылка")</f>
        <v>Ссылка</v>
      </c>
      <c r="AB25" s="17">
        <v>25228</v>
      </c>
      <c r="AC25" s="17">
        <v>22260</v>
      </c>
      <c r="AD25" s="17">
        <v>21518</v>
      </c>
      <c r="AE25" s="17">
        <v>20034</v>
      </c>
    </row>
    <row r="26" spans="1:31" ht="39.950000000000003" customHeight="1" x14ac:dyDescent="0.25">
      <c r="A26" s="1"/>
      <c r="B26" s="12" t="s">
        <v>2002</v>
      </c>
      <c r="C26" s="1" t="s">
        <v>2074</v>
      </c>
      <c r="E26" s="12">
        <v>9.8000000000000007</v>
      </c>
      <c r="F26" s="12">
        <v>32</v>
      </c>
      <c r="G26" s="19" t="s">
        <v>2417</v>
      </c>
      <c r="H26" s="7">
        <v>100</v>
      </c>
      <c r="I26" s="7"/>
      <c r="J26" s="12" t="s">
        <v>2005</v>
      </c>
      <c r="K26" s="1" t="s">
        <v>2021</v>
      </c>
      <c r="L26" s="12" t="s">
        <v>2018</v>
      </c>
      <c r="M26" s="12" t="s">
        <v>2424</v>
      </c>
      <c r="N26" s="3" t="s">
        <v>2075</v>
      </c>
      <c r="O26" s="12">
        <v>20</v>
      </c>
      <c r="P26" s="12" t="s">
        <v>389</v>
      </c>
      <c r="Q26" s="1" t="s">
        <v>106</v>
      </c>
      <c r="R26" s="12" t="s">
        <v>1618</v>
      </c>
      <c r="S26" s="12" t="s">
        <v>108</v>
      </c>
      <c r="T26" s="12" t="s">
        <v>2426</v>
      </c>
      <c r="U26" s="1" t="s">
        <v>2065</v>
      </c>
      <c r="V26" s="1" t="s">
        <v>2066</v>
      </c>
      <c r="W26" s="12" t="s">
        <v>2067</v>
      </c>
      <c r="X26" s="12">
        <v>3.0748575E-2</v>
      </c>
      <c r="Y26" s="12">
        <v>3.63</v>
      </c>
      <c r="Z26" s="12" t="s">
        <v>2011</v>
      </c>
      <c r="AA26" s="14" t="str">
        <f>HYPERLINK("https://gcsvt.ru/svetodiodnyie-svetilniki/svt-spc-med-doc-100-black/","Ссылка")</f>
        <v>Ссылка</v>
      </c>
      <c r="AB26" s="17">
        <v>25228</v>
      </c>
      <c r="AC26" s="17">
        <v>22260</v>
      </c>
      <c r="AD26" s="17">
        <v>21518</v>
      </c>
      <c r="AE26" s="17">
        <v>20034</v>
      </c>
    </row>
    <row r="27" spans="1:31" ht="39.950000000000003" customHeight="1" x14ac:dyDescent="0.25">
      <c r="A27" s="1"/>
      <c r="B27" s="12" t="s">
        <v>2002</v>
      </c>
      <c r="C27" s="1" t="s">
        <v>2070</v>
      </c>
      <c r="E27" s="12">
        <v>9.8000000000000007</v>
      </c>
      <c r="F27" s="12">
        <v>34</v>
      </c>
      <c r="G27" s="19" t="s">
        <v>2418</v>
      </c>
      <c r="H27" s="7">
        <v>150</v>
      </c>
      <c r="I27" s="7"/>
      <c r="J27" s="12" t="s">
        <v>2005</v>
      </c>
      <c r="K27" s="1" t="s">
        <v>2021</v>
      </c>
      <c r="L27" s="12" t="s">
        <v>2018</v>
      </c>
      <c r="M27" s="12" t="s">
        <v>2424</v>
      </c>
      <c r="N27" s="3" t="s">
        <v>2071</v>
      </c>
      <c r="O27" s="12">
        <v>20</v>
      </c>
      <c r="P27" s="12" t="s">
        <v>389</v>
      </c>
      <c r="Q27" s="1" t="s">
        <v>106</v>
      </c>
      <c r="R27" s="12" t="s">
        <v>1618</v>
      </c>
      <c r="S27" s="12" t="s">
        <v>108</v>
      </c>
      <c r="T27" s="12" t="s">
        <v>2427</v>
      </c>
      <c r="U27" s="1" t="s">
        <v>2065</v>
      </c>
      <c r="V27" s="1" t="s">
        <v>2066</v>
      </c>
      <c r="W27" s="12" t="s">
        <v>2067</v>
      </c>
      <c r="X27" s="12">
        <v>3.0748575E-2</v>
      </c>
      <c r="Y27" s="12">
        <v>3.63</v>
      </c>
      <c r="Z27" s="12" t="s">
        <v>2011</v>
      </c>
      <c r="AA27" s="14" t="str">
        <f>HYPERLINK("https://gcsvt.ru/svetodiodnyie-svetilniki/svt-spc-med-doc-150-white/","Ссылка")</f>
        <v>Ссылка</v>
      </c>
      <c r="AB27" s="17">
        <v>29524</v>
      </c>
      <c r="AC27" s="17">
        <v>26051</v>
      </c>
      <c r="AD27" s="17">
        <v>25183</v>
      </c>
      <c r="AE27" s="17">
        <v>23446</v>
      </c>
    </row>
    <row r="28" spans="1:31" ht="39.950000000000003" customHeight="1" x14ac:dyDescent="0.25">
      <c r="A28" s="1"/>
      <c r="B28" s="12" t="s">
        <v>2002</v>
      </c>
      <c r="C28" s="1" t="s">
        <v>2076</v>
      </c>
      <c r="E28" s="12">
        <v>9.8000000000000007</v>
      </c>
      <c r="F28" s="12">
        <v>34</v>
      </c>
      <c r="G28" s="19" t="s">
        <v>2418</v>
      </c>
      <c r="H28" s="7">
        <v>150</v>
      </c>
      <c r="I28" s="7"/>
      <c r="J28" s="12" t="s">
        <v>2005</v>
      </c>
      <c r="K28" s="1" t="s">
        <v>2021</v>
      </c>
      <c r="L28" s="12" t="s">
        <v>2018</v>
      </c>
      <c r="M28" s="12" t="s">
        <v>2424</v>
      </c>
      <c r="N28" s="3" t="s">
        <v>2077</v>
      </c>
      <c r="O28" s="12">
        <v>20</v>
      </c>
      <c r="P28" s="12" t="s">
        <v>389</v>
      </c>
      <c r="Q28" s="1" t="s">
        <v>106</v>
      </c>
      <c r="R28" s="12" t="s">
        <v>1618</v>
      </c>
      <c r="S28" s="12" t="s">
        <v>108</v>
      </c>
      <c r="T28" s="12" t="s">
        <v>2426</v>
      </c>
      <c r="U28" s="1" t="s">
        <v>2065</v>
      </c>
      <c r="V28" s="1" t="s">
        <v>2066</v>
      </c>
      <c r="W28" s="12" t="s">
        <v>2067</v>
      </c>
      <c r="X28" s="12">
        <v>3.0748575E-2</v>
      </c>
      <c r="Y28" s="12">
        <v>3.63</v>
      </c>
      <c r="Z28" s="12" t="s">
        <v>2011</v>
      </c>
      <c r="AA28" s="14" t="str">
        <f>HYPERLINK("https://gcsvt.ru/svetodiodnyie-svetilniki/svt-spc-med-doc-150-black/","Ссылка")</f>
        <v>Ссылка</v>
      </c>
      <c r="AB28" s="17">
        <v>29524</v>
      </c>
      <c r="AC28" s="17">
        <v>26051</v>
      </c>
      <c r="AD28" s="17">
        <v>25183</v>
      </c>
      <c r="AE28" s="17">
        <v>23446</v>
      </c>
    </row>
    <row r="29" spans="1:31" ht="39.950000000000003" customHeight="1" x14ac:dyDescent="0.25">
      <c r="A29" s="1"/>
      <c r="B29" s="12" t="s">
        <v>2002</v>
      </c>
      <c r="C29" s="1" t="s">
        <v>2078</v>
      </c>
      <c r="E29" s="12">
        <v>4.9000000000000004</v>
      </c>
      <c r="F29" s="12">
        <v>18</v>
      </c>
      <c r="G29" s="19" t="s">
        <v>2419</v>
      </c>
      <c r="H29" s="7">
        <v>50</v>
      </c>
      <c r="I29" s="7"/>
      <c r="J29" s="12" t="s">
        <v>2005</v>
      </c>
      <c r="K29" s="1" t="s">
        <v>2015</v>
      </c>
      <c r="L29" s="12" t="s">
        <v>2018</v>
      </c>
      <c r="M29" s="12" t="s">
        <v>2424</v>
      </c>
      <c r="N29" s="3" t="s">
        <v>2079</v>
      </c>
      <c r="O29" s="12">
        <v>20</v>
      </c>
      <c r="P29" s="12" t="s">
        <v>389</v>
      </c>
      <c r="Q29" s="1" t="s">
        <v>106</v>
      </c>
      <c r="R29" s="12" t="s">
        <v>1618</v>
      </c>
      <c r="S29" s="12" t="s">
        <v>108</v>
      </c>
      <c r="T29" s="12" t="s">
        <v>2427</v>
      </c>
      <c r="U29" s="1" t="s">
        <v>1943</v>
      </c>
      <c r="V29" s="1" t="s">
        <v>2038</v>
      </c>
      <c r="W29" s="12" t="s">
        <v>2080</v>
      </c>
      <c r="X29" s="12">
        <v>6.3563500000000002E-3</v>
      </c>
      <c r="Y29" s="12">
        <v>2.2000000000000002</v>
      </c>
      <c r="Z29" s="12" t="s">
        <v>2011</v>
      </c>
      <c r="AA29" s="14" t="str">
        <f>HYPERLINK("https://gcsvt.ru/svetodiodnyie-svetilniki/svt-spc-med-uvc-vent-1x15w/","Ссылка")</f>
        <v>Ссылка</v>
      </c>
      <c r="AB29" s="17">
        <v>10576</v>
      </c>
      <c r="AC29" s="17">
        <v>9332</v>
      </c>
      <c r="AD29" s="17">
        <v>9021</v>
      </c>
      <c r="AE29" s="17">
        <v>8399</v>
      </c>
    </row>
    <row r="30" spans="1:31" ht="39.950000000000003" customHeight="1" x14ac:dyDescent="0.25">
      <c r="A30" s="1"/>
      <c r="B30" s="12" t="s">
        <v>2002</v>
      </c>
      <c r="C30" s="1" t="s">
        <v>2081</v>
      </c>
      <c r="E30" s="12">
        <v>9.8000000000000007</v>
      </c>
      <c r="F30" s="12">
        <v>36</v>
      </c>
      <c r="G30" s="19" t="s">
        <v>2420</v>
      </c>
      <c r="H30" s="7">
        <v>100</v>
      </c>
      <c r="I30" s="7"/>
      <c r="J30" s="12" t="s">
        <v>2005</v>
      </c>
      <c r="K30" s="1" t="s">
        <v>2021</v>
      </c>
      <c r="L30" s="12" t="s">
        <v>2018</v>
      </c>
      <c r="M30" s="12" t="s">
        <v>2424</v>
      </c>
      <c r="N30" s="3" t="s">
        <v>2082</v>
      </c>
      <c r="O30" s="12">
        <v>20</v>
      </c>
      <c r="P30" s="12" t="s">
        <v>389</v>
      </c>
      <c r="Q30" s="1" t="s">
        <v>106</v>
      </c>
      <c r="R30" s="12" t="s">
        <v>1618</v>
      </c>
      <c r="S30" s="12" t="s">
        <v>108</v>
      </c>
      <c r="T30" s="12" t="s">
        <v>2427</v>
      </c>
      <c r="U30" s="1" t="s">
        <v>1943</v>
      </c>
      <c r="V30" s="1" t="s">
        <v>2038</v>
      </c>
      <c r="W30" s="12" t="s">
        <v>2080</v>
      </c>
      <c r="X30" s="12">
        <v>6.3563500000000002E-3</v>
      </c>
      <c r="Y30" s="12">
        <v>2.3100000000000005</v>
      </c>
      <c r="Z30" s="12" t="s">
        <v>2011</v>
      </c>
      <c r="AA30" s="14" t="str">
        <f>HYPERLINK("https://gcsvt.ru/svetodiodnyie-svetilniki/svt-spc-med-uvc-vent-2x15w/","Ссылка")</f>
        <v>Ссылка</v>
      </c>
      <c r="AB30" s="17">
        <v>12669</v>
      </c>
      <c r="AC30" s="17">
        <v>11178</v>
      </c>
      <c r="AD30" s="17">
        <v>10806</v>
      </c>
      <c r="AE30" s="17">
        <v>10061</v>
      </c>
    </row>
    <row r="31" spans="1:31" ht="39.950000000000003" customHeight="1" x14ac:dyDescent="0.25">
      <c r="A31" s="1"/>
      <c r="B31" s="12" t="s">
        <v>2002</v>
      </c>
      <c r="C31" s="1" t="s">
        <v>2083</v>
      </c>
      <c r="E31" s="12">
        <f>3*E29</f>
        <v>14.700000000000001</v>
      </c>
      <c r="F31" s="12">
        <v>57</v>
      </c>
      <c r="G31" s="19" t="s">
        <v>2421</v>
      </c>
      <c r="H31" s="7">
        <v>200</v>
      </c>
      <c r="I31" s="7"/>
      <c r="J31" s="12" t="s">
        <v>2005</v>
      </c>
      <c r="K31" s="1" t="s">
        <v>2085</v>
      </c>
      <c r="L31" s="12" t="s">
        <v>2018</v>
      </c>
      <c r="M31" s="12" t="s">
        <v>2424</v>
      </c>
      <c r="N31" s="3" t="s">
        <v>2084</v>
      </c>
      <c r="O31" s="12">
        <v>20</v>
      </c>
      <c r="P31" s="12" t="s">
        <v>389</v>
      </c>
      <c r="Q31" s="1" t="s">
        <v>106</v>
      </c>
      <c r="R31" s="12" t="s">
        <v>1618</v>
      </c>
      <c r="S31" s="12" t="s">
        <v>108</v>
      </c>
      <c r="T31" s="12" t="s">
        <v>2427</v>
      </c>
      <c r="U31" s="1" t="s">
        <v>1943</v>
      </c>
      <c r="V31" s="1" t="s">
        <v>2038</v>
      </c>
      <c r="W31" s="12" t="s">
        <v>2086</v>
      </c>
      <c r="X31" s="12">
        <v>1.9516464000000001E-2</v>
      </c>
      <c r="Y31" s="12">
        <v>2.64</v>
      </c>
      <c r="Z31" s="12" t="s">
        <v>2011</v>
      </c>
      <c r="AA31" s="14" t="str">
        <f>HYPERLINK("https://gcsvt.ru/svetodiodnyie-svetilniki/svt-spc-med-uvc-vent-200-clk/","Ссылка")</f>
        <v>Ссылка</v>
      </c>
      <c r="AB31" s="17">
        <v>21636</v>
      </c>
      <c r="AC31" s="17">
        <v>19091</v>
      </c>
      <c r="AD31" s="17">
        <v>18455</v>
      </c>
      <c r="AE31" s="17">
        <v>17182</v>
      </c>
    </row>
    <row r="32" spans="1:31" ht="39.950000000000003" customHeight="1" x14ac:dyDescent="0.25">
      <c r="A32" s="1"/>
      <c r="B32" s="12" t="s">
        <v>2002</v>
      </c>
      <c r="C32" s="1" t="s">
        <v>2087</v>
      </c>
      <c r="E32" s="12">
        <f>4*4.9</f>
        <v>19.600000000000001</v>
      </c>
      <c r="F32" s="12">
        <v>78</v>
      </c>
      <c r="G32" s="70" t="s">
        <v>2418</v>
      </c>
      <c r="H32" s="7">
        <v>300</v>
      </c>
      <c r="I32" s="7"/>
      <c r="J32" s="12" t="s">
        <v>2005</v>
      </c>
      <c r="K32" s="1" t="s">
        <v>2089</v>
      </c>
      <c r="L32" s="12" t="s">
        <v>2018</v>
      </c>
      <c r="M32" s="12" t="s">
        <v>2424</v>
      </c>
      <c r="N32" s="3" t="s">
        <v>2088</v>
      </c>
      <c r="O32" s="12">
        <v>20</v>
      </c>
      <c r="P32" s="12" t="s">
        <v>389</v>
      </c>
      <c r="Q32" s="1" t="s">
        <v>106</v>
      </c>
      <c r="R32" s="12" t="s">
        <v>1618</v>
      </c>
      <c r="S32" s="12" t="s">
        <v>108</v>
      </c>
      <c r="T32" s="12" t="s">
        <v>2427</v>
      </c>
      <c r="U32" s="1" t="s">
        <v>1943</v>
      </c>
      <c r="V32" s="1" t="s">
        <v>2038</v>
      </c>
      <c r="W32" s="12" t="s">
        <v>2086</v>
      </c>
      <c r="X32" s="12">
        <v>1.9516464000000001E-2</v>
      </c>
      <c r="Y32" s="12">
        <v>2.75</v>
      </c>
      <c r="Z32" s="12" t="s">
        <v>2011</v>
      </c>
      <c r="AA32" s="14" t="str">
        <f>HYPERLINK("https://gcsvt.ru/svetodiodnyie-svetilniki/svt-spc-med-uvc-vent-300-clk/","Ссылка")</f>
        <v>Ссылка</v>
      </c>
      <c r="AB32" s="17">
        <v>23642</v>
      </c>
      <c r="AC32" s="17">
        <v>20861</v>
      </c>
      <c r="AD32" s="17">
        <v>20166</v>
      </c>
      <c r="AE32" s="17">
        <v>18775</v>
      </c>
    </row>
    <row r="33" spans="1:31" ht="39.950000000000003" customHeight="1" x14ac:dyDescent="0.25">
      <c r="A33" s="1"/>
      <c r="B33" s="12" t="s">
        <v>2002</v>
      </c>
      <c r="C33" s="1" t="s">
        <v>2090</v>
      </c>
      <c r="N33" s="3" t="s">
        <v>2091</v>
      </c>
      <c r="AA33" s="14" t="str">
        <f>HYPERLINK("https://gcsvt.ru/svetodiodnyie-svetilniki/stoyka-dlya-svt-spc-med-uvc-vent/","Ссылка")</f>
        <v>Ссылка</v>
      </c>
      <c r="AB33" s="17">
        <v>3856</v>
      </c>
      <c r="AC33" s="17">
        <v>3402</v>
      </c>
      <c r="AD33" s="17">
        <v>3289</v>
      </c>
      <c r="AE33" s="17">
        <v>3062</v>
      </c>
    </row>
    <row r="34" spans="1:31" ht="39.950000000000003" customHeight="1" x14ac:dyDescent="0.25">
      <c r="A34" s="1"/>
      <c r="B34" s="12" t="s">
        <v>2002</v>
      </c>
      <c r="C34" s="1" t="s">
        <v>2092</v>
      </c>
      <c r="N34" s="3" t="s">
        <v>2093</v>
      </c>
      <c r="AA34" s="14" t="str">
        <f>HYPERLINK("https://gcsvt.ru/svetodiodnyie-svetilniki/stoyka-na-kolesakh-dlya-svt-spc-med-uvc-vent/","Ссылка")</f>
        <v>Ссылка</v>
      </c>
      <c r="AB34" s="17">
        <v>5270</v>
      </c>
      <c r="AC34" s="17">
        <v>4650</v>
      </c>
      <c r="AD34" s="17">
        <v>4495</v>
      </c>
      <c r="AE34" s="17">
        <v>4185</v>
      </c>
    </row>
    <row r="35" spans="1:31" ht="39.950000000000003" customHeight="1" x14ac:dyDescent="0.25">
      <c r="B35" s="13" t="s">
        <v>2101</v>
      </c>
      <c r="C35" s="1" t="s">
        <v>2102</v>
      </c>
      <c r="D35" s="12">
        <v>3200</v>
      </c>
      <c r="E35" s="12">
        <v>4.9000000000000004</v>
      </c>
      <c r="F35" s="12">
        <v>29</v>
      </c>
      <c r="G35" s="19" t="s">
        <v>2411</v>
      </c>
      <c r="H35" s="12">
        <v>50</v>
      </c>
      <c r="J35" s="12" t="s">
        <v>2005</v>
      </c>
      <c r="K35" s="1" t="s">
        <v>2015</v>
      </c>
      <c r="L35" s="12" t="s">
        <v>2018</v>
      </c>
      <c r="M35" s="12" t="s">
        <v>2424</v>
      </c>
      <c r="N35" s="3" t="s">
        <v>2103</v>
      </c>
      <c r="O35" s="12">
        <v>20</v>
      </c>
      <c r="P35" s="12" t="s">
        <v>389</v>
      </c>
      <c r="Q35" s="1" t="s">
        <v>106</v>
      </c>
      <c r="R35" s="12" t="s">
        <v>1618</v>
      </c>
      <c r="S35" s="12" t="s">
        <v>67</v>
      </c>
      <c r="T35" s="12" t="s">
        <v>2427</v>
      </c>
      <c r="U35" s="1" t="s">
        <v>1943</v>
      </c>
      <c r="V35" s="1" t="s">
        <v>2099</v>
      </c>
      <c r="W35" s="12" t="s">
        <v>2100</v>
      </c>
      <c r="X35" s="12">
        <v>1.460844E-2</v>
      </c>
      <c r="Y35" s="12">
        <v>4.4000000000000004</v>
      </c>
      <c r="Z35" s="12" t="s">
        <v>2011</v>
      </c>
      <c r="AA35" s="14" t="str">
        <f>HYPERLINK("https://gcsvt.ru/svetodiodnyie-svetilniki/svt-spc-med-bh-uvc-15w-29w-10w-uvc-up-down-4000k/","Ссылка")</f>
        <v>Ссылка</v>
      </c>
      <c r="AB35" s="17">
        <v>0</v>
      </c>
      <c r="AC35" s="17">
        <v>0</v>
      </c>
      <c r="AD35" s="17">
        <v>0</v>
      </c>
      <c r="AE35" s="17">
        <v>0</v>
      </c>
    </row>
  </sheetData>
  <autoFilter ref="A1:AE2"/>
  <conditionalFormatting sqref="A1:AE1 B2:AE2 A3:AA35">
    <cfRule type="expression" dxfId="58" priority="4">
      <formula>MOD(ROW(),2)=0</formula>
    </cfRule>
  </conditionalFormatting>
  <conditionalFormatting sqref="A2">
    <cfRule type="expression" dxfId="57" priority="3">
      <formula>MOD(ROW(),2)=0</formula>
    </cfRule>
  </conditionalFormatting>
  <conditionalFormatting sqref="AB3:AE35">
    <cfRule type="expression" dxfId="56" priority="1">
      <formula>MOD(ROW(),2)=0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0" tint="-0.499984740745262"/>
    <outlinePr summaryBelow="0" summaryRight="0"/>
  </sheetPr>
  <dimension ref="A1:AW39"/>
  <sheetViews>
    <sheetView zoomScale="80" zoomScaleNormal="80" workbookViewId="0">
      <pane xSplit="3" ySplit="1" topLeftCell="Y2" activePane="bottomRight" state="frozen"/>
      <selection pane="topRight" activeCell="D1" sqref="D1"/>
      <selection pane="bottomLeft" activeCell="A2" sqref="A2"/>
      <selection pane="bottomRight" activeCell="AC1" sqref="AC1:AD1048576"/>
    </sheetView>
  </sheetViews>
  <sheetFormatPr defaultRowHeight="15" outlineLevelRow="1" outlineLevelCol="1" x14ac:dyDescent="0.25"/>
  <cols>
    <col min="1" max="1" width="14.7109375" style="12" customWidth="1"/>
    <col min="2" max="2" width="28.85546875" style="12" customWidth="1"/>
    <col min="3" max="3" width="34" style="12" customWidth="1"/>
    <col min="4" max="4" width="20.42578125" style="12" bestFit="1" customWidth="1"/>
    <col min="5" max="5" width="9.140625" style="12"/>
    <col min="6" max="8" width="11.7109375" style="12" customWidth="1"/>
    <col min="9" max="9" width="13.28515625" style="12" customWidth="1"/>
    <col min="10" max="10" width="11.7109375" style="12" customWidth="1"/>
    <col min="11" max="11" width="9.140625" style="12"/>
    <col min="12" max="12" width="9.140625" style="12" collapsed="1"/>
    <col min="13" max="15" width="17.28515625" style="12" hidden="1" customWidth="1" outlineLevel="1"/>
    <col min="16" max="16" width="14.5703125" style="12" hidden="1" customWidth="1" outlineLevel="1"/>
    <col min="17" max="17" width="13.140625" style="12" hidden="1" customWidth="1" outlineLevel="1"/>
    <col min="18" max="18" width="9.140625" style="12" hidden="1" customWidth="1" outlineLevel="1"/>
    <col min="19" max="19" width="9.140625" style="12"/>
    <col min="20" max="28" width="12" style="12" customWidth="1"/>
    <col min="29" max="32" width="22.140625" style="12" customWidth="1"/>
    <col min="33" max="45" width="20.85546875" style="12" customWidth="1"/>
    <col min="46" max="46" width="9.140625" style="12"/>
    <col min="47" max="47" width="48.42578125" style="12" customWidth="1"/>
    <col min="48" max="48" width="23" style="12" customWidth="1"/>
    <col min="49" max="49" width="25" style="12" customWidth="1"/>
    <col min="50" max="16384" width="9.140625" style="12"/>
  </cols>
  <sheetData>
    <row r="1" spans="1:49" s="74" customFormat="1" ht="65.25" customHeight="1" x14ac:dyDescent="0.25">
      <c r="A1" s="72" t="s">
        <v>0</v>
      </c>
      <c r="B1" s="72" t="s">
        <v>58</v>
      </c>
      <c r="C1" s="72" t="s">
        <v>57</v>
      </c>
      <c r="D1" s="72" t="s">
        <v>2694</v>
      </c>
      <c r="E1" s="72" t="s">
        <v>2668</v>
      </c>
      <c r="F1" s="72" t="s">
        <v>2638</v>
      </c>
      <c r="G1" s="72" t="s">
        <v>2637</v>
      </c>
      <c r="H1" s="72" t="s">
        <v>2636</v>
      </c>
      <c r="I1" s="72" t="s">
        <v>2695</v>
      </c>
      <c r="J1" s="72" t="s">
        <v>2696</v>
      </c>
      <c r="K1" s="72" t="s">
        <v>2635</v>
      </c>
      <c r="L1" s="72" t="s">
        <v>50</v>
      </c>
      <c r="M1" s="72" t="s">
        <v>2697</v>
      </c>
      <c r="N1" s="72" t="s">
        <v>2698</v>
      </c>
      <c r="O1" s="72" t="s">
        <v>2699</v>
      </c>
      <c r="P1" s="72" t="s">
        <v>2634</v>
      </c>
      <c r="Q1" s="72" t="s">
        <v>35</v>
      </c>
      <c r="R1" s="72" t="s">
        <v>34</v>
      </c>
      <c r="S1" s="72" t="s">
        <v>31</v>
      </c>
      <c r="T1" s="73" t="s">
        <v>30</v>
      </c>
      <c r="U1" s="73" t="s">
        <v>29</v>
      </c>
      <c r="V1" s="73" t="s">
        <v>28</v>
      </c>
      <c r="W1" s="73" t="s">
        <v>27</v>
      </c>
      <c r="X1" s="73" t="s">
        <v>26</v>
      </c>
      <c r="Y1" s="73" t="s">
        <v>25</v>
      </c>
      <c r="Z1" s="73" t="s">
        <v>24</v>
      </c>
      <c r="AA1" s="73" t="s">
        <v>23</v>
      </c>
      <c r="AB1" s="73" t="s">
        <v>22</v>
      </c>
      <c r="AC1" s="72" t="s">
        <v>21</v>
      </c>
      <c r="AD1" s="72" t="s">
        <v>20</v>
      </c>
      <c r="AE1" s="72" t="s">
        <v>19</v>
      </c>
      <c r="AF1" s="72" t="s">
        <v>18</v>
      </c>
      <c r="AG1" s="72" t="s">
        <v>17</v>
      </c>
      <c r="AH1" s="72" t="s">
        <v>16</v>
      </c>
      <c r="AI1" s="72" t="s">
        <v>15</v>
      </c>
      <c r="AJ1" s="72" t="s">
        <v>14</v>
      </c>
      <c r="AK1" s="72" t="s">
        <v>13</v>
      </c>
      <c r="AL1" s="72" t="s">
        <v>12</v>
      </c>
      <c r="AM1" s="72" t="s">
        <v>11</v>
      </c>
      <c r="AN1" s="72" t="s">
        <v>10</v>
      </c>
      <c r="AO1" s="72" t="s">
        <v>9</v>
      </c>
      <c r="AP1" s="72" t="s">
        <v>8</v>
      </c>
      <c r="AQ1" s="72" t="s">
        <v>7</v>
      </c>
      <c r="AR1" s="72" t="s">
        <v>6</v>
      </c>
      <c r="AS1" s="72" t="s">
        <v>5</v>
      </c>
      <c r="AT1" s="72" t="s">
        <v>4</v>
      </c>
      <c r="AU1" s="72" t="s">
        <v>3</v>
      </c>
      <c r="AV1" s="72" t="s">
        <v>2</v>
      </c>
      <c r="AW1" s="72" t="s">
        <v>1</v>
      </c>
    </row>
    <row r="2" spans="1:49" s="74" customFormat="1" ht="33" customHeight="1" x14ac:dyDescent="0.25">
      <c r="A2" s="67" t="s">
        <v>4638</v>
      </c>
      <c r="T2" s="84"/>
      <c r="U2" s="84"/>
      <c r="V2" s="84"/>
      <c r="W2" s="84"/>
      <c r="X2" s="84"/>
      <c r="Y2" s="84"/>
      <c r="Z2" s="84"/>
      <c r="AA2" s="84"/>
      <c r="AB2" s="84"/>
    </row>
    <row r="3" spans="1:49" s="21" customFormat="1" ht="19.5" customHeight="1" x14ac:dyDescent="0.25">
      <c r="A3" s="79" t="s">
        <v>2639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6"/>
      <c r="U3" s="76"/>
      <c r="V3" s="76"/>
      <c r="W3" s="76"/>
      <c r="X3" s="76"/>
      <c r="Y3" s="76"/>
      <c r="Z3" s="76"/>
      <c r="AA3" s="76"/>
      <c r="AB3" s="76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</row>
    <row r="4" spans="1:49" s="1" customFormat="1" ht="15" customHeight="1" outlineLevel="1" x14ac:dyDescent="0.25">
      <c r="A4" s="80"/>
      <c r="B4" s="1" t="s">
        <v>2630</v>
      </c>
      <c r="C4" s="1" t="s">
        <v>2604</v>
      </c>
      <c r="D4" s="1" t="s">
        <v>2593</v>
      </c>
      <c r="E4" s="1">
        <v>3</v>
      </c>
      <c r="F4" s="1">
        <v>100</v>
      </c>
      <c r="G4" s="1">
        <v>70</v>
      </c>
      <c r="H4" s="1">
        <v>3</v>
      </c>
      <c r="J4" s="12" t="s">
        <v>2646</v>
      </c>
      <c r="K4" s="1" t="s">
        <v>2644</v>
      </c>
      <c r="L4" s="1" t="s">
        <v>2614</v>
      </c>
      <c r="M4" s="1" t="s">
        <v>2592</v>
      </c>
      <c r="N4" s="1" t="s">
        <v>2591</v>
      </c>
      <c r="O4" s="1" t="s">
        <v>2591</v>
      </c>
      <c r="P4" s="1" t="s">
        <v>2647</v>
      </c>
      <c r="R4" s="1">
        <v>27</v>
      </c>
      <c r="S4" s="71" t="str">
        <f>HYPERLINK(AW4, "Ссылка")</f>
        <v>Ссылка</v>
      </c>
      <c r="T4" s="17">
        <f>ROUNDUP(1.7*X4,0)</f>
        <v>13464</v>
      </c>
      <c r="U4" s="17">
        <f>ROUNDUP(1.5*X4,0)</f>
        <v>11880</v>
      </c>
      <c r="V4" s="17">
        <f>ROUNDUP(1.45*X4,0)</f>
        <v>11484</v>
      </c>
      <c r="W4" s="17">
        <f>ROUNDUP(1.35*X4,0)</f>
        <v>10692</v>
      </c>
      <c r="X4" s="85">
        <v>7920.0000000000009</v>
      </c>
      <c r="Y4" s="17">
        <f>ROUNDUP(T4/1.2,0)</f>
        <v>11220</v>
      </c>
      <c r="Z4" s="17">
        <f>ROUNDUP(U4/1.2,0)</f>
        <v>9900</v>
      </c>
      <c r="AA4" s="17">
        <f>ROUNDUP(V4/1.2,0)</f>
        <v>9570</v>
      </c>
      <c r="AB4" s="17">
        <f>ROUNDUP(W4/1.2,0)</f>
        <v>8910</v>
      </c>
      <c r="AC4" s="1" t="s">
        <v>2632</v>
      </c>
      <c r="AG4" s="1" t="s">
        <v>2616</v>
      </c>
      <c r="AH4" s="1" t="s">
        <v>2616</v>
      </c>
      <c r="AI4" s="1" t="s">
        <v>2617</v>
      </c>
      <c r="AJ4" s="1" t="s">
        <v>2618</v>
      </c>
      <c r="AK4" s="1" t="s">
        <v>2620</v>
      </c>
      <c r="AL4" s="1" t="s">
        <v>2621</v>
      </c>
      <c r="AT4" s="1">
        <v>10</v>
      </c>
      <c r="AU4" s="5" t="s">
        <v>2641</v>
      </c>
      <c r="AV4" s="5" t="s">
        <v>2615</v>
      </c>
      <c r="AW4" s="1" t="s">
        <v>2737</v>
      </c>
    </row>
    <row r="5" spans="1:49" ht="15" customHeight="1" outlineLevel="1" x14ac:dyDescent="0.25">
      <c r="A5" s="81"/>
      <c r="B5" s="1" t="s">
        <v>2630</v>
      </c>
      <c r="C5" s="1" t="s">
        <v>2605</v>
      </c>
      <c r="D5" s="1" t="s">
        <v>2597</v>
      </c>
      <c r="E5" s="12">
        <v>4</v>
      </c>
      <c r="F5" s="12">
        <v>110</v>
      </c>
      <c r="G5" s="1">
        <v>70</v>
      </c>
      <c r="H5" s="1">
        <v>3</v>
      </c>
      <c r="I5" s="1"/>
      <c r="J5" s="12" t="s">
        <v>2646</v>
      </c>
      <c r="K5" s="1" t="s">
        <v>2644</v>
      </c>
      <c r="L5" s="1" t="s">
        <v>2614</v>
      </c>
      <c r="M5" s="1" t="s">
        <v>2592</v>
      </c>
      <c r="N5" s="1" t="s">
        <v>2591</v>
      </c>
      <c r="O5" s="1" t="s">
        <v>2591</v>
      </c>
      <c r="P5" s="1" t="s">
        <v>2672</v>
      </c>
      <c r="R5" s="12">
        <v>35</v>
      </c>
      <c r="S5" s="71" t="str">
        <f t="shared" ref="S5:S16" si="0">HYPERLINK(AW5, "Ссылка")</f>
        <v>Ссылка</v>
      </c>
      <c r="T5" s="17">
        <f t="shared" ref="T5:T16" si="1">ROUNDUP(1.7*X5,0)</f>
        <v>15462</v>
      </c>
      <c r="U5" s="17">
        <f t="shared" ref="U5:U16" si="2">ROUNDUP(1.5*X5,0)</f>
        <v>13643</v>
      </c>
      <c r="V5" s="17">
        <f t="shared" ref="V5:V16" si="3">ROUNDUP(1.45*X5,0)</f>
        <v>13188</v>
      </c>
      <c r="W5" s="17">
        <f t="shared" ref="W5:W39" si="4">ROUNDUP(1.35*X5,0)</f>
        <v>12278</v>
      </c>
      <c r="X5" s="86">
        <v>9094.8000000000011</v>
      </c>
      <c r="Y5" s="17">
        <f t="shared" ref="Y5:Y16" si="5">ROUNDUP(T5/1.2,0)</f>
        <v>12885</v>
      </c>
      <c r="Z5" s="17">
        <f t="shared" ref="Z5:Z16" si="6">ROUNDUP(U5/1.2,0)</f>
        <v>11370</v>
      </c>
      <c r="AA5" s="17">
        <f t="shared" ref="AA5:AA16" si="7">ROUNDUP(V5/1.2,0)</f>
        <v>10990</v>
      </c>
      <c r="AB5" s="17">
        <f t="shared" ref="AB5:AB16" si="8">ROUNDUP(W5/1.2,0)</f>
        <v>10232</v>
      </c>
      <c r="AC5" s="1" t="s">
        <v>2632</v>
      </c>
      <c r="AG5" s="1" t="s">
        <v>2616</v>
      </c>
      <c r="AH5" s="1" t="s">
        <v>2616</v>
      </c>
      <c r="AI5" s="1" t="s">
        <v>2617</v>
      </c>
      <c r="AJ5" s="1" t="s">
        <v>2618</v>
      </c>
      <c r="AK5" s="1" t="s">
        <v>2620</v>
      </c>
      <c r="AL5" s="1" t="s">
        <v>2621</v>
      </c>
      <c r="AT5" s="12">
        <v>20</v>
      </c>
      <c r="AU5" s="5" t="s">
        <v>2641</v>
      </c>
      <c r="AV5" s="5" t="s">
        <v>2615</v>
      </c>
      <c r="AW5" s="1" t="s">
        <v>2738</v>
      </c>
    </row>
    <row r="6" spans="1:49" ht="15" customHeight="1" outlineLevel="1" x14ac:dyDescent="0.25">
      <c r="A6" s="81"/>
      <c r="B6" s="1" t="s">
        <v>2630</v>
      </c>
      <c r="C6" s="1" t="s">
        <v>2606</v>
      </c>
      <c r="D6" s="1" t="s">
        <v>2596</v>
      </c>
      <c r="E6" s="12">
        <v>5</v>
      </c>
      <c r="F6" s="12">
        <v>120</v>
      </c>
      <c r="G6" s="1">
        <v>70</v>
      </c>
      <c r="H6" s="1">
        <v>3</v>
      </c>
      <c r="I6" s="1"/>
      <c r="J6" s="12" t="s">
        <v>2646</v>
      </c>
      <c r="K6" s="1" t="s">
        <v>2644</v>
      </c>
      <c r="L6" s="1" t="s">
        <v>2614</v>
      </c>
      <c r="M6" s="1" t="s">
        <v>2592</v>
      </c>
      <c r="N6" s="1" t="s">
        <v>2591</v>
      </c>
      <c r="O6" s="1" t="s">
        <v>2591</v>
      </c>
      <c r="P6" s="1" t="s">
        <v>2672</v>
      </c>
      <c r="R6" s="12">
        <v>44</v>
      </c>
      <c r="S6" s="71" t="str">
        <f t="shared" si="0"/>
        <v>Ссылка</v>
      </c>
      <c r="T6" s="17">
        <f t="shared" si="1"/>
        <v>17683</v>
      </c>
      <c r="U6" s="17">
        <f t="shared" si="2"/>
        <v>15603</v>
      </c>
      <c r="V6" s="17">
        <f t="shared" si="3"/>
        <v>15083</v>
      </c>
      <c r="W6" s="17">
        <f t="shared" si="4"/>
        <v>14043</v>
      </c>
      <c r="X6" s="86">
        <v>10401.6</v>
      </c>
      <c r="Y6" s="17">
        <f t="shared" si="5"/>
        <v>14736</v>
      </c>
      <c r="Z6" s="17">
        <f t="shared" si="6"/>
        <v>13003</v>
      </c>
      <c r="AA6" s="17">
        <f t="shared" si="7"/>
        <v>12570</v>
      </c>
      <c r="AB6" s="17">
        <f t="shared" si="8"/>
        <v>11703</v>
      </c>
      <c r="AC6" s="1" t="s">
        <v>2632</v>
      </c>
      <c r="AG6" s="1" t="s">
        <v>2616</v>
      </c>
      <c r="AH6" s="1" t="s">
        <v>2616</v>
      </c>
      <c r="AI6" s="1" t="s">
        <v>2617</v>
      </c>
      <c r="AJ6" s="1" t="s">
        <v>2618</v>
      </c>
      <c r="AK6" s="1" t="s">
        <v>2620</v>
      </c>
      <c r="AL6" s="1" t="s">
        <v>2621</v>
      </c>
      <c r="AT6" s="12">
        <v>30</v>
      </c>
      <c r="AU6" s="5" t="s">
        <v>2641</v>
      </c>
      <c r="AV6" s="5" t="s">
        <v>2615</v>
      </c>
      <c r="AW6" s="1" t="s">
        <v>2739</v>
      </c>
    </row>
    <row r="7" spans="1:49" ht="15" customHeight="1" outlineLevel="1" x14ac:dyDescent="0.25">
      <c r="A7" s="81"/>
      <c r="B7" s="1" t="s">
        <v>2630</v>
      </c>
      <c r="C7" s="1" t="s">
        <v>2607</v>
      </c>
      <c r="D7" s="1" t="s">
        <v>2595</v>
      </c>
      <c r="E7" s="12">
        <v>6</v>
      </c>
      <c r="F7" s="12">
        <v>130</v>
      </c>
      <c r="G7" s="1">
        <v>70</v>
      </c>
      <c r="H7" s="1">
        <v>3</v>
      </c>
      <c r="I7" s="1"/>
      <c r="J7" s="12" t="s">
        <v>2646</v>
      </c>
      <c r="K7" s="1" t="s">
        <v>2644</v>
      </c>
      <c r="L7" s="1" t="s">
        <v>2614</v>
      </c>
      <c r="M7" s="1" t="s">
        <v>2592</v>
      </c>
      <c r="N7" s="1" t="s">
        <v>2591</v>
      </c>
      <c r="O7" s="1" t="s">
        <v>2591</v>
      </c>
      <c r="P7" s="1" t="s">
        <v>2672</v>
      </c>
      <c r="R7" s="12">
        <v>54</v>
      </c>
      <c r="S7" s="71" t="str">
        <f t="shared" si="0"/>
        <v>Ссылка</v>
      </c>
      <c r="T7" s="17">
        <f t="shared" si="1"/>
        <v>21767</v>
      </c>
      <c r="U7" s="17">
        <f t="shared" si="2"/>
        <v>19206</v>
      </c>
      <c r="V7" s="17">
        <f t="shared" si="3"/>
        <v>18566</v>
      </c>
      <c r="W7" s="17">
        <f t="shared" si="4"/>
        <v>17286</v>
      </c>
      <c r="X7" s="86">
        <v>12804.000000000002</v>
      </c>
      <c r="Y7" s="17">
        <f t="shared" si="5"/>
        <v>18140</v>
      </c>
      <c r="Z7" s="17">
        <f t="shared" si="6"/>
        <v>16005</v>
      </c>
      <c r="AA7" s="17">
        <f t="shared" si="7"/>
        <v>15472</v>
      </c>
      <c r="AB7" s="17">
        <f t="shared" si="8"/>
        <v>14405</v>
      </c>
      <c r="AC7" s="1" t="s">
        <v>2632</v>
      </c>
      <c r="AG7" s="1" t="s">
        <v>2616</v>
      </c>
      <c r="AH7" s="1" t="s">
        <v>2616</v>
      </c>
      <c r="AI7" s="1" t="s">
        <v>2617</v>
      </c>
      <c r="AJ7" s="1" t="s">
        <v>2618</v>
      </c>
      <c r="AK7" s="1" t="s">
        <v>2620</v>
      </c>
      <c r="AL7" s="1" t="s">
        <v>2621</v>
      </c>
      <c r="AT7" s="1">
        <v>40</v>
      </c>
      <c r="AU7" s="5" t="s">
        <v>2641</v>
      </c>
      <c r="AV7" s="5" t="s">
        <v>2615</v>
      </c>
      <c r="AW7" s="1" t="s">
        <v>2740</v>
      </c>
    </row>
    <row r="8" spans="1:49" ht="15" customHeight="1" outlineLevel="1" x14ac:dyDescent="0.25">
      <c r="A8" s="81"/>
      <c r="B8" s="1" t="s">
        <v>2630</v>
      </c>
      <c r="C8" s="1" t="s">
        <v>2608</v>
      </c>
      <c r="D8" s="1" t="s">
        <v>2594</v>
      </c>
      <c r="E8" s="12">
        <v>7</v>
      </c>
      <c r="F8" s="12">
        <v>140</v>
      </c>
      <c r="G8" s="1">
        <v>70</v>
      </c>
      <c r="H8" s="1">
        <v>3</v>
      </c>
      <c r="I8" s="1"/>
      <c r="J8" s="12" t="s">
        <v>2646</v>
      </c>
      <c r="K8" s="1" t="s">
        <v>2644</v>
      </c>
      <c r="L8" s="1" t="s">
        <v>2614</v>
      </c>
      <c r="M8" s="1" t="s">
        <v>2592</v>
      </c>
      <c r="N8" s="1" t="s">
        <v>2591</v>
      </c>
      <c r="O8" s="1" t="s">
        <v>2591</v>
      </c>
      <c r="P8" s="1" t="s">
        <v>2672</v>
      </c>
      <c r="R8" s="12">
        <v>64</v>
      </c>
      <c r="S8" s="71" t="str">
        <f t="shared" si="0"/>
        <v>Ссылка</v>
      </c>
      <c r="T8" s="17">
        <f t="shared" si="1"/>
        <v>25234</v>
      </c>
      <c r="U8" s="17">
        <f t="shared" si="2"/>
        <v>22266</v>
      </c>
      <c r="V8" s="17">
        <f t="shared" si="3"/>
        <v>21523</v>
      </c>
      <c r="W8" s="17">
        <f t="shared" si="4"/>
        <v>20039</v>
      </c>
      <c r="X8" s="86">
        <v>14843.400000000001</v>
      </c>
      <c r="Y8" s="17">
        <f t="shared" si="5"/>
        <v>21029</v>
      </c>
      <c r="Z8" s="17">
        <f t="shared" si="6"/>
        <v>18555</v>
      </c>
      <c r="AA8" s="17">
        <f t="shared" si="7"/>
        <v>17936</v>
      </c>
      <c r="AB8" s="17">
        <f t="shared" si="8"/>
        <v>16700</v>
      </c>
      <c r="AC8" s="1" t="s">
        <v>2632</v>
      </c>
      <c r="AG8" s="1" t="s">
        <v>2616</v>
      </c>
      <c r="AH8" s="1" t="s">
        <v>2616</v>
      </c>
      <c r="AI8" s="1" t="s">
        <v>2617</v>
      </c>
      <c r="AJ8" s="1" t="s">
        <v>2618</v>
      </c>
      <c r="AK8" s="1" t="s">
        <v>2620</v>
      </c>
      <c r="AL8" s="1" t="s">
        <v>2621</v>
      </c>
      <c r="AT8" s="12">
        <v>50</v>
      </c>
      <c r="AU8" s="5" t="s">
        <v>2641</v>
      </c>
      <c r="AV8" s="5" t="s">
        <v>2615</v>
      </c>
      <c r="AW8" s="1" t="s">
        <v>2741</v>
      </c>
    </row>
    <row r="9" spans="1:49" ht="15" customHeight="1" outlineLevel="1" x14ac:dyDescent="0.25">
      <c r="A9" s="81"/>
      <c r="B9" s="1" t="s">
        <v>2630</v>
      </c>
      <c r="C9" s="1" t="s">
        <v>2601</v>
      </c>
      <c r="D9" s="1" t="s">
        <v>2598</v>
      </c>
      <c r="E9" s="12">
        <v>8</v>
      </c>
      <c r="F9" s="12">
        <v>150</v>
      </c>
      <c r="G9" s="12">
        <v>70</v>
      </c>
      <c r="H9" s="12">
        <v>3</v>
      </c>
      <c r="J9" s="12" t="s">
        <v>2646</v>
      </c>
      <c r="K9" s="1" t="s">
        <v>2644</v>
      </c>
      <c r="L9" s="1" t="s">
        <v>2614</v>
      </c>
      <c r="M9" s="1" t="s">
        <v>2592</v>
      </c>
      <c r="N9" s="1" t="s">
        <v>2591</v>
      </c>
      <c r="O9" s="1" t="s">
        <v>2591</v>
      </c>
      <c r="P9" s="1" t="s">
        <v>2672</v>
      </c>
      <c r="R9" s="12">
        <v>99</v>
      </c>
      <c r="S9" s="71" t="str">
        <f t="shared" si="0"/>
        <v>Ссылка</v>
      </c>
      <c r="T9" s="17">
        <f t="shared" si="1"/>
        <v>30609</v>
      </c>
      <c r="U9" s="17">
        <f t="shared" si="2"/>
        <v>27008</v>
      </c>
      <c r="V9" s="17">
        <f t="shared" si="3"/>
        <v>26107</v>
      </c>
      <c r="W9" s="17">
        <f t="shared" si="4"/>
        <v>24307</v>
      </c>
      <c r="X9" s="86">
        <v>18004.800000000003</v>
      </c>
      <c r="Y9" s="17">
        <f t="shared" si="5"/>
        <v>25508</v>
      </c>
      <c r="Z9" s="17">
        <f t="shared" si="6"/>
        <v>22507</v>
      </c>
      <c r="AA9" s="17">
        <f t="shared" si="7"/>
        <v>21756</v>
      </c>
      <c r="AB9" s="17">
        <f t="shared" si="8"/>
        <v>20256</v>
      </c>
      <c r="AC9" s="1" t="s">
        <v>2632</v>
      </c>
      <c r="AG9" s="1" t="s">
        <v>2616</v>
      </c>
      <c r="AH9" s="1" t="s">
        <v>2616</v>
      </c>
      <c r="AI9" s="1" t="s">
        <v>2617</v>
      </c>
      <c r="AJ9" s="1" t="s">
        <v>2618</v>
      </c>
      <c r="AK9" s="1" t="s">
        <v>2620</v>
      </c>
      <c r="AL9" s="1" t="s">
        <v>2621</v>
      </c>
      <c r="AT9" s="12">
        <v>60</v>
      </c>
      <c r="AU9" s="5" t="s">
        <v>2641</v>
      </c>
      <c r="AV9" s="5" t="s">
        <v>2615</v>
      </c>
      <c r="AW9" s="1" t="s">
        <v>2742</v>
      </c>
    </row>
    <row r="10" spans="1:49" ht="15" customHeight="1" outlineLevel="1" x14ac:dyDescent="0.25">
      <c r="A10" s="81"/>
      <c r="B10" s="1" t="s">
        <v>2630</v>
      </c>
      <c r="C10" s="1" t="s">
        <v>2602</v>
      </c>
      <c r="D10" s="1" t="s">
        <v>2598</v>
      </c>
      <c r="E10" s="12">
        <v>8</v>
      </c>
      <c r="F10" s="12">
        <v>150</v>
      </c>
      <c r="G10" s="12">
        <v>70</v>
      </c>
      <c r="H10" s="12">
        <v>4</v>
      </c>
      <c r="J10" s="12" t="s">
        <v>2646</v>
      </c>
      <c r="K10" s="1" t="s">
        <v>2644</v>
      </c>
      <c r="L10" s="1" t="s">
        <v>2614</v>
      </c>
      <c r="M10" s="1" t="s">
        <v>2592</v>
      </c>
      <c r="N10" s="1" t="s">
        <v>2591</v>
      </c>
      <c r="O10" s="1" t="s">
        <v>2591</v>
      </c>
      <c r="P10" s="1" t="s">
        <v>2672</v>
      </c>
      <c r="R10" s="12">
        <v>77</v>
      </c>
      <c r="S10" s="71" t="str">
        <f t="shared" si="0"/>
        <v>Ссылка</v>
      </c>
      <c r="T10" s="17">
        <f t="shared" si="1"/>
        <v>36802</v>
      </c>
      <c r="U10" s="17">
        <f t="shared" si="2"/>
        <v>32472</v>
      </c>
      <c r="V10" s="17">
        <f t="shared" si="3"/>
        <v>31390</v>
      </c>
      <c r="W10" s="17">
        <f t="shared" si="4"/>
        <v>29225</v>
      </c>
      <c r="X10" s="86">
        <v>21648</v>
      </c>
      <c r="Y10" s="17">
        <f t="shared" si="5"/>
        <v>30669</v>
      </c>
      <c r="Z10" s="17">
        <f t="shared" si="6"/>
        <v>27060</v>
      </c>
      <c r="AA10" s="17">
        <f t="shared" si="7"/>
        <v>26159</v>
      </c>
      <c r="AB10" s="17">
        <f t="shared" si="8"/>
        <v>24355</v>
      </c>
      <c r="AC10" s="1" t="s">
        <v>2632</v>
      </c>
      <c r="AG10" s="1" t="s">
        <v>2616</v>
      </c>
      <c r="AH10" s="1" t="s">
        <v>2616</v>
      </c>
      <c r="AI10" s="1" t="s">
        <v>2617</v>
      </c>
      <c r="AJ10" s="1" t="s">
        <v>2618</v>
      </c>
      <c r="AK10" s="1" t="s">
        <v>2620</v>
      </c>
      <c r="AL10" s="1" t="s">
        <v>2621</v>
      </c>
      <c r="AT10" s="1">
        <v>70</v>
      </c>
      <c r="AU10" s="5" t="s">
        <v>2641</v>
      </c>
      <c r="AV10" s="5" t="s">
        <v>2615</v>
      </c>
      <c r="AW10" s="1" t="s">
        <v>2743</v>
      </c>
    </row>
    <row r="11" spans="1:49" ht="15" customHeight="1" outlineLevel="1" x14ac:dyDescent="0.25">
      <c r="A11" s="81"/>
      <c r="B11" s="1" t="s">
        <v>2630</v>
      </c>
      <c r="C11" s="1" t="s">
        <v>2603</v>
      </c>
      <c r="D11" s="1" t="s">
        <v>2599</v>
      </c>
      <c r="E11" s="12">
        <v>9</v>
      </c>
      <c r="F11" s="12">
        <v>160</v>
      </c>
      <c r="G11" s="12">
        <v>70</v>
      </c>
      <c r="H11" s="12">
        <v>3</v>
      </c>
      <c r="J11" s="1" t="s">
        <v>2644</v>
      </c>
      <c r="K11" s="1" t="s">
        <v>2645</v>
      </c>
      <c r="L11" s="1" t="s">
        <v>2614</v>
      </c>
      <c r="M11" s="1" t="s">
        <v>2592</v>
      </c>
      <c r="N11" s="1" t="s">
        <v>2591</v>
      </c>
      <c r="O11" s="1" t="s">
        <v>2591</v>
      </c>
      <c r="P11" s="1" t="s">
        <v>2648</v>
      </c>
      <c r="R11" s="12">
        <v>89</v>
      </c>
      <c r="S11" s="71" t="str">
        <f t="shared" si="0"/>
        <v>Ссылка</v>
      </c>
      <c r="T11" s="17">
        <f t="shared" si="1"/>
        <v>35900</v>
      </c>
      <c r="U11" s="17">
        <f t="shared" si="2"/>
        <v>31677</v>
      </c>
      <c r="V11" s="17">
        <f t="shared" si="3"/>
        <v>30621</v>
      </c>
      <c r="W11" s="17">
        <f t="shared" si="4"/>
        <v>28509</v>
      </c>
      <c r="X11" s="86">
        <v>21117.360000000001</v>
      </c>
      <c r="Y11" s="17">
        <f t="shared" si="5"/>
        <v>29917</v>
      </c>
      <c r="Z11" s="17">
        <f t="shared" si="6"/>
        <v>26398</v>
      </c>
      <c r="AA11" s="17">
        <f t="shared" si="7"/>
        <v>25518</v>
      </c>
      <c r="AB11" s="17">
        <f t="shared" si="8"/>
        <v>23758</v>
      </c>
      <c r="AC11" s="1" t="s">
        <v>2632</v>
      </c>
      <c r="AG11" s="1" t="s">
        <v>2616</v>
      </c>
      <c r="AH11" s="1" t="s">
        <v>2616</v>
      </c>
      <c r="AI11" s="1" t="s">
        <v>2617</v>
      </c>
      <c r="AJ11" s="1" t="s">
        <v>2618</v>
      </c>
      <c r="AK11" s="1" t="s">
        <v>2620</v>
      </c>
      <c r="AL11" s="1" t="s">
        <v>2621</v>
      </c>
      <c r="AT11" s="12">
        <v>80</v>
      </c>
      <c r="AU11" s="5" t="s">
        <v>2641</v>
      </c>
      <c r="AV11" s="5" t="s">
        <v>2615</v>
      </c>
      <c r="AW11" s="1" t="s">
        <v>2744</v>
      </c>
    </row>
    <row r="12" spans="1:49" ht="15" customHeight="1" outlineLevel="1" x14ac:dyDescent="0.25">
      <c r="A12" s="81"/>
      <c r="B12" s="1" t="s">
        <v>2630</v>
      </c>
      <c r="C12" s="1" t="s">
        <v>2609</v>
      </c>
      <c r="D12" s="1" t="s">
        <v>2599</v>
      </c>
      <c r="E12" s="12">
        <v>9</v>
      </c>
      <c r="F12" s="12">
        <v>160</v>
      </c>
      <c r="G12" s="12">
        <v>70</v>
      </c>
      <c r="H12" s="12">
        <v>4</v>
      </c>
      <c r="J12" s="1" t="s">
        <v>2644</v>
      </c>
      <c r="K12" s="1" t="s">
        <v>2645</v>
      </c>
      <c r="L12" s="1" t="s">
        <v>2614</v>
      </c>
      <c r="M12" s="1" t="s">
        <v>2592</v>
      </c>
      <c r="N12" s="1" t="s">
        <v>2591</v>
      </c>
      <c r="O12" s="1" t="s">
        <v>2591</v>
      </c>
      <c r="P12" s="1" t="s">
        <v>2648</v>
      </c>
      <c r="R12" s="12">
        <v>115</v>
      </c>
      <c r="S12" s="71" t="str">
        <f t="shared" si="0"/>
        <v>Ссылка</v>
      </c>
      <c r="T12" s="17">
        <f t="shared" si="1"/>
        <v>43714</v>
      </c>
      <c r="U12" s="17">
        <f t="shared" si="2"/>
        <v>38571</v>
      </c>
      <c r="V12" s="17">
        <f t="shared" si="3"/>
        <v>37285</v>
      </c>
      <c r="W12" s="17">
        <f t="shared" si="4"/>
        <v>34714</v>
      </c>
      <c r="X12" s="86">
        <v>25713.600000000002</v>
      </c>
      <c r="Y12" s="17">
        <f t="shared" si="5"/>
        <v>36429</v>
      </c>
      <c r="Z12" s="17">
        <f t="shared" si="6"/>
        <v>32143</v>
      </c>
      <c r="AA12" s="17">
        <f t="shared" si="7"/>
        <v>31071</v>
      </c>
      <c r="AB12" s="17">
        <f t="shared" si="8"/>
        <v>28929</v>
      </c>
      <c r="AC12" s="1" t="s">
        <v>2632</v>
      </c>
      <c r="AG12" s="1" t="s">
        <v>2616</v>
      </c>
      <c r="AH12" s="1" t="s">
        <v>2616</v>
      </c>
      <c r="AI12" s="1" t="s">
        <v>2617</v>
      </c>
      <c r="AJ12" s="1" t="s">
        <v>2618</v>
      </c>
      <c r="AK12" s="1" t="s">
        <v>2620</v>
      </c>
      <c r="AL12" s="1" t="s">
        <v>2621</v>
      </c>
      <c r="AT12" s="12">
        <v>90</v>
      </c>
      <c r="AU12" s="5" t="s">
        <v>2641</v>
      </c>
      <c r="AV12" s="5" t="s">
        <v>2615</v>
      </c>
      <c r="AW12" s="1" t="s">
        <v>2745</v>
      </c>
    </row>
    <row r="13" spans="1:49" ht="15" customHeight="1" outlineLevel="1" x14ac:dyDescent="0.25">
      <c r="A13" s="81"/>
      <c r="B13" s="1" t="s">
        <v>2630</v>
      </c>
      <c r="C13" s="1" t="s">
        <v>2610</v>
      </c>
      <c r="D13" s="1" t="s">
        <v>2600</v>
      </c>
      <c r="E13" s="12">
        <v>10</v>
      </c>
      <c r="F13" s="12">
        <v>170</v>
      </c>
      <c r="G13" s="12">
        <v>70</v>
      </c>
      <c r="H13" s="12">
        <v>3</v>
      </c>
      <c r="J13" s="1" t="s">
        <v>2644</v>
      </c>
      <c r="K13" s="1" t="s">
        <v>2645</v>
      </c>
      <c r="L13" s="1" t="s">
        <v>2614</v>
      </c>
      <c r="M13" s="1" t="s">
        <v>2592</v>
      </c>
      <c r="N13" s="1" t="s">
        <v>2591</v>
      </c>
      <c r="O13" s="1" t="s">
        <v>2591</v>
      </c>
      <c r="P13" s="1" t="s">
        <v>2648</v>
      </c>
      <c r="R13" s="12">
        <v>104</v>
      </c>
      <c r="S13" s="71" t="str">
        <f t="shared" si="0"/>
        <v>Ссылка</v>
      </c>
      <c r="T13" s="17">
        <f t="shared" si="1"/>
        <v>41539</v>
      </c>
      <c r="U13" s="17">
        <f t="shared" si="2"/>
        <v>36652</v>
      </c>
      <c r="V13" s="17">
        <f t="shared" si="3"/>
        <v>35431</v>
      </c>
      <c r="W13" s="17">
        <f t="shared" si="4"/>
        <v>32987</v>
      </c>
      <c r="X13" s="86">
        <v>24434.520000000004</v>
      </c>
      <c r="Y13" s="17">
        <f t="shared" si="5"/>
        <v>34616</v>
      </c>
      <c r="Z13" s="17">
        <f t="shared" si="6"/>
        <v>30544</v>
      </c>
      <c r="AA13" s="17">
        <f t="shared" si="7"/>
        <v>29526</v>
      </c>
      <c r="AB13" s="17">
        <f t="shared" si="8"/>
        <v>27490</v>
      </c>
      <c r="AC13" s="1" t="s">
        <v>2632</v>
      </c>
      <c r="AG13" s="1" t="s">
        <v>2616</v>
      </c>
      <c r="AH13" s="1" t="s">
        <v>2616</v>
      </c>
      <c r="AI13" s="1" t="s">
        <v>2617</v>
      </c>
      <c r="AJ13" s="1" t="s">
        <v>2618</v>
      </c>
      <c r="AK13" s="1" t="s">
        <v>2620</v>
      </c>
      <c r="AL13" s="1" t="s">
        <v>2621</v>
      </c>
      <c r="AT13" s="1">
        <v>100</v>
      </c>
      <c r="AU13" s="5" t="s">
        <v>2641</v>
      </c>
      <c r="AV13" s="5" t="s">
        <v>2615</v>
      </c>
      <c r="AW13" s="1" t="s">
        <v>2746</v>
      </c>
    </row>
    <row r="14" spans="1:49" ht="15" customHeight="1" outlineLevel="1" x14ac:dyDescent="0.25">
      <c r="A14" s="81"/>
      <c r="B14" s="1" t="s">
        <v>2630</v>
      </c>
      <c r="C14" s="1" t="s">
        <v>2611</v>
      </c>
      <c r="D14" s="1" t="s">
        <v>2600</v>
      </c>
      <c r="E14" s="12">
        <v>10</v>
      </c>
      <c r="F14" s="12">
        <v>170</v>
      </c>
      <c r="G14" s="12">
        <v>70</v>
      </c>
      <c r="H14" s="12">
        <v>4</v>
      </c>
      <c r="J14" s="1" t="s">
        <v>2644</v>
      </c>
      <c r="K14" s="1" t="s">
        <v>2645</v>
      </c>
      <c r="L14" s="1" t="s">
        <v>2614</v>
      </c>
      <c r="M14" s="1" t="s">
        <v>2592</v>
      </c>
      <c r="N14" s="1" t="s">
        <v>2591</v>
      </c>
      <c r="O14" s="1" t="s">
        <v>2591</v>
      </c>
      <c r="P14" s="1" t="s">
        <v>2648</v>
      </c>
      <c r="R14" s="12">
        <v>135</v>
      </c>
      <c r="S14" s="71" t="str">
        <f t="shared" si="0"/>
        <v>Ссылка</v>
      </c>
      <c r="T14" s="17">
        <f t="shared" si="1"/>
        <v>48906</v>
      </c>
      <c r="U14" s="17">
        <f t="shared" si="2"/>
        <v>43153</v>
      </c>
      <c r="V14" s="17">
        <f t="shared" si="3"/>
        <v>41714</v>
      </c>
      <c r="W14" s="17">
        <f t="shared" si="4"/>
        <v>38837</v>
      </c>
      <c r="X14" s="86">
        <v>28768.080000000002</v>
      </c>
      <c r="Y14" s="17">
        <f t="shared" si="5"/>
        <v>40755</v>
      </c>
      <c r="Z14" s="17">
        <f t="shared" si="6"/>
        <v>35961</v>
      </c>
      <c r="AA14" s="17">
        <f t="shared" si="7"/>
        <v>34762</v>
      </c>
      <c r="AB14" s="17">
        <f t="shared" si="8"/>
        <v>32365</v>
      </c>
      <c r="AC14" s="1" t="s">
        <v>2632</v>
      </c>
      <c r="AG14" s="1" t="s">
        <v>2616</v>
      </c>
      <c r="AH14" s="1" t="s">
        <v>2616</v>
      </c>
      <c r="AI14" s="1" t="s">
        <v>2617</v>
      </c>
      <c r="AJ14" s="1" t="s">
        <v>2618</v>
      </c>
      <c r="AK14" s="1" t="s">
        <v>2620</v>
      </c>
      <c r="AL14" s="1" t="s">
        <v>2621</v>
      </c>
      <c r="AT14" s="12">
        <v>110</v>
      </c>
      <c r="AU14" s="5" t="s">
        <v>2641</v>
      </c>
      <c r="AV14" s="5" t="s">
        <v>2615</v>
      </c>
      <c r="AW14" s="1" t="s">
        <v>2747</v>
      </c>
    </row>
    <row r="15" spans="1:49" ht="15" customHeight="1" outlineLevel="1" x14ac:dyDescent="0.25">
      <c r="A15" s="81"/>
      <c r="B15" s="1" t="s">
        <v>2630</v>
      </c>
      <c r="C15" s="1" t="s">
        <v>2612</v>
      </c>
      <c r="D15" s="1" t="s">
        <v>2600</v>
      </c>
      <c r="E15" s="12">
        <v>10</v>
      </c>
      <c r="F15" s="12">
        <v>200</v>
      </c>
      <c r="G15" s="12">
        <v>100</v>
      </c>
      <c r="H15" s="12">
        <v>3</v>
      </c>
      <c r="J15" s="1" t="s">
        <v>2644</v>
      </c>
      <c r="K15" s="1" t="s">
        <v>2645</v>
      </c>
      <c r="L15" s="1" t="s">
        <v>2614</v>
      </c>
      <c r="M15" s="1" t="s">
        <v>2592</v>
      </c>
      <c r="N15" s="1" t="s">
        <v>2591</v>
      </c>
      <c r="O15" s="1" t="s">
        <v>2591</v>
      </c>
      <c r="P15" s="1" t="s">
        <v>2648</v>
      </c>
      <c r="R15" s="12">
        <v>127</v>
      </c>
      <c r="S15" s="71" t="str">
        <f t="shared" si="0"/>
        <v>Ссылка</v>
      </c>
      <c r="T15" s="17">
        <f t="shared" si="1"/>
        <v>53071</v>
      </c>
      <c r="U15" s="17">
        <f t="shared" si="2"/>
        <v>46827</v>
      </c>
      <c r="V15" s="17">
        <f t="shared" si="3"/>
        <v>45267</v>
      </c>
      <c r="W15" s="17">
        <f t="shared" si="4"/>
        <v>42145</v>
      </c>
      <c r="X15" s="86">
        <v>31218.000000000004</v>
      </c>
      <c r="Y15" s="17">
        <f t="shared" si="5"/>
        <v>44226</v>
      </c>
      <c r="Z15" s="17">
        <f t="shared" si="6"/>
        <v>39023</v>
      </c>
      <c r="AA15" s="17">
        <f t="shared" si="7"/>
        <v>37723</v>
      </c>
      <c r="AB15" s="17">
        <f t="shared" si="8"/>
        <v>35121</v>
      </c>
      <c r="AC15" s="1" t="s">
        <v>2632</v>
      </c>
      <c r="AG15" s="1" t="s">
        <v>2616</v>
      </c>
      <c r="AH15" s="1" t="s">
        <v>2616</v>
      </c>
      <c r="AI15" s="1" t="s">
        <v>2617</v>
      </c>
      <c r="AJ15" s="1" t="s">
        <v>2618</v>
      </c>
      <c r="AK15" s="1" t="s">
        <v>2620</v>
      </c>
      <c r="AL15" s="1" t="s">
        <v>2621</v>
      </c>
      <c r="AT15" s="12">
        <v>120</v>
      </c>
      <c r="AU15" s="5" t="s">
        <v>2641</v>
      </c>
      <c r="AV15" s="5" t="s">
        <v>2615</v>
      </c>
      <c r="AW15" s="1" t="s">
        <v>2748</v>
      </c>
    </row>
    <row r="16" spans="1:49" ht="15" customHeight="1" outlineLevel="1" x14ac:dyDescent="0.25">
      <c r="A16" s="81"/>
      <c r="B16" s="1" t="s">
        <v>2630</v>
      </c>
      <c r="C16" s="1" t="s">
        <v>2613</v>
      </c>
      <c r="D16" s="1" t="s">
        <v>2600</v>
      </c>
      <c r="E16" s="12">
        <v>10</v>
      </c>
      <c r="F16" s="12">
        <v>200</v>
      </c>
      <c r="G16" s="12">
        <v>100</v>
      </c>
      <c r="H16" s="12">
        <v>4</v>
      </c>
      <c r="J16" s="1" t="s">
        <v>2644</v>
      </c>
      <c r="K16" s="1" t="s">
        <v>2645</v>
      </c>
      <c r="L16" s="1" t="s">
        <v>2614</v>
      </c>
      <c r="M16" s="1" t="s">
        <v>2592</v>
      </c>
      <c r="N16" s="1" t="s">
        <v>2591</v>
      </c>
      <c r="O16" s="1" t="s">
        <v>2591</v>
      </c>
      <c r="P16" s="1" t="s">
        <v>2648</v>
      </c>
      <c r="R16" s="12">
        <v>166</v>
      </c>
      <c r="S16" s="71" t="str">
        <f t="shared" si="0"/>
        <v>Ссылка</v>
      </c>
      <c r="T16" s="17">
        <f t="shared" si="1"/>
        <v>60694</v>
      </c>
      <c r="U16" s="17">
        <f t="shared" si="2"/>
        <v>53554</v>
      </c>
      <c r="V16" s="17">
        <f t="shared" si="3"/>
        <v>51768</v>
      </c>
      <c r="W16" s="17">
        <f t="shared" si="4"/>
        <v>48198</v>
      </c>
      <c r="X16" s="86">
        <v>35702.04</v>
      </c>
      <c r="Y16" s="17">
        <f t="shared" si="5"/>
        <v>50579</v>
      </c>
      <c r="Z16" s="17">
        <f t="shared" si="6"/>
        <v>44629</v>
      </c>
      <c r="AA16" s="17">
        <f t="shared" si="7"/>
        <v>43140</v>
      </c>
      <c r="AB16" s="17">
        <f t="shared" si="8"/>
        <v>40165</v>
      </c>
      <c r="AC16" s="1" t="s">
        <v>2632</v>
      </c>
      <c r="AG16" s="1" t="s">
        <v>2616</v>
      </c>
      <c r="AH16" s="1" t="s">
        <v>2616</v>
      </c>
      <c r="AI16" s="1" t="s">
        <v>2617</v>
      </c>
      <c r="AJ16" s="1" t="s">
        <v>2618</v>
      </c>
      <c r="AK16" s="1" t="s">
        <v>2620</v>
      </c>
      <c r="AL16" s="1" t="s">
        <v>2621</v>
      </c>
      <c r="AT16" s="1">
        <v>130</v>
      </c>
      <c r="AU16" s="5" t="s">
        <v>2641</v>
      </c>
      <c r="AV16" s="5" t="s">
        <v>2615</v>
      </c>
      <c r="AW16" s="1" t="s">
        <v>2749</v>
      </c>
    </row>
    <row r="17" spans="1:49" ht="15.75" x14ac:dyDescent="0.25">
      <c r="A17" s="82" t="s">
        <v>2640</v>
      </c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</row>
    <row r="18" spans="1:49" s="1" customFormat="1" ht="15" customHeight="1" outlineLevel="1" x14ac:dyDescent="0.25">
      <c r="A18" s="80"/>
      <c r="B18" s="1" t="s">
        <v>2631</v>
      </c>
      <c r="C18" s="1" t="s">
        <v>2655</v>
      </c>
      <c r="D18" s="1" t="s">
        <v>2622</v>
      </c>
      <c r="E18" s="1">
        <v>3</v>
      </c>
      <c r="F18" s="1">
        <v>100</v>
      </c>
      <c r="G18" s="1">
        <v>60</v>
      </c>
      <c r="H18" s="1">
        <v>3</v>
      </c>
      <c r="J18" s="12" t="s">
        <v>2646</v>
      </c>
      <c r="K18" s="1" t="s">
        <v>2644</v>
      </c>
      <c r="L18" s="1" t="s">
        <v>2614</v>
      </c>
      <c r="M18" s="1" t="s">
        <v>2592</v>
      </c>
      <c r="N18" s="1" t="s">
        <v>2591</v>
      </c>
      <c r="O18" s="1" t="s">
        <v>2591</v>
      </c>
      <c r="P18" s="1" t="s">
        <v>2647</v>
      </c>
      <c r="R18" s="1">
        <v>27</v>
      </c>
      <c r="S18" s="71" t="str">
        <f>HYPERLINK(AW18, "Ссылка")</f>
        <v>Ссылка</v>
      </c>
      <c r="T18" s="17">
        <f>ROUNDUP(1.7*X18,0)</f>
        <v>13464</v>
      </c>
      <c r="U18" s="17">
        <f>ROUNDUP(1.5*X18,0)</f>
        <v>11880</v>
      </c>
      <c r="V18" s="17">
        <f>ROUNDUP(1.45*X18,0)</f>
        <v>11484</v>
      </c>
      <c r="W18" s="17">
        <f t="shared" si="4"/>
        <v>10692</v>
      </c>
      <c r="X18" s="85">
        <v>7920.0000000000009</v>
      </c>
      <c r="Y18" s="17">
        <f>ROUNDUP(T18/1.2,0)</f>
        <v>11220</v>
      </c>
      <c r="Z18" s="17">
        <f>ROUNDUP(U18/1.2,0)</f>
        <v>9900</v>
      </c>
      <c r="AA18" s="17">
        <f>ROUNDUP(V18/1.2,0)</f>
        <v>9570</v>
      </c>
      <c r="AB18" s="17">
        <f>ROUNDUP(W18/1.2,0)</f>
        <v>8910</v>
      </c>
      <c r="AC18" s="1" t="s">
        <v>2633</v>
      </c>
      <c r="AG18" s="1" t="s">
        <v>2619</v>
      </c>
      <c r="AH18" s="1" t="s">
        <v>2619</v>
      </c>
      <c r="AI18" s="1" t="s">
        <v>2620</v>
      </c>
      <c r="AJ18" s="1" t="s">
        <v>2621</v>
      </c>
      <c r="AT18" s="1">
        <v>140</v>
      </c>
      <c r="AU18" s="5" t="s">
        <v>2642</v>
      </c>
      <c r="AV18" s="5" t="s">
        <v>2615</v>
      </c>
      <c r="AW18" s="1" t="s">
        <v>2750</v>
      </c>
    </row>
    <row r="19" spans="1:49" ht="15" customHeight="1" outlineLevel="1" x14ac:dyDescent="0.25">
      <c r="A19" s="81"/>
      <c r="B19" s="1" t="s">
        <v>2631</v>
      </c>
      <c r="C19" s="1" t="s">
        <v>2656</v>
      </c>
      <c r="D19" s="1" t="s">
        <v>2623</v>
      </c>
      <c r="E19" s="12">
        <v>4</v>
      </c>
      <c r="F19" s="12">
        <v>110</v>
      </c>
      <c r="G19" s="1">
        <v>60</v>
      </c>
      <c r="H19" s="1">
        <v>3</v>
      </c>
      <c r="I19" s="1"/>
      <c r="J19" s="12" t="s">
        <v>2646</v>
      </c>
      <c r="K19" s="1" t="s">
        <v>2644</v>
      </c>
      <c r="L19" s="1" t="s">
        <v>2614</v>
      </c>
      <c r="M19" s="1" t="s">
        <v>2592</v>
      </c>
      <c r="N19" s="1" t="s">
        <v>2591</v>
      </c>
      <c r="O19" s="1" t="s">
        <v>2591</v>
      </c>
      <c r="P19" s="1" t="s">
        <v>2672</v>
      </c>
      <c r="R19" s="12">
        <v>35</v>
      </c>
      <c r="S19" s="71" t="str">
        <f t="shared" ref="S19:S39" si="9">HYPERLINK(AW19, "Ссылка")</f>
        <v>Ссылка</v>
      </c>
      <c r="T19" s="17">
        <f t="shared" ref="T19:T30" si="10">ROUNDUP(1.7*X19,0)</f>
        <v>15462</v>
      </c>
      <c r="U19" s="17">
        <f t="shared" ref="U19:U30" si="11">ROUNDUP(1.5*X19,0)</f>
        <v>13643</v>
      </c>
      <c r="V19" s="17">
        <f t="shared" ref="V19:V30" si="12">ROUNDUP(1.45*X19,0)</f>
        <v>13188</v>
      </c>
      <c r="W19" s="17">
        <f t="shared" si="4"/>
        <v>12278</v>
      </c>
      <c r="X19" s="86">
        <v>9094.8000000000011</v>
      </c>
      <c r="Y19" s="17">
        <f t="shared" ref="Y19:Y30" si="13">ROUNDUP(T19/1.2,0)</f>
        <v>12885</v>
      </c>
      <c r="Z19" s="17">
        <f t="shared" ref="Z19:Z30" si="14">ROUNDUP(U19/1.2,0)</f>
        <v>11370</v>
      </c>
      <c r="AA19" s="17">
        <f t="shared" ref="AA19:AA30" si="15">ROUNDUP(V19/1.2,0)</f>
        <v>10990</v>
      </c>
      <c r="AB19" s="17">
        <f t="shared" ref="AB19:AB30" si="16">ROUNDUP(W19/1.2,0)</f>
        <v>10232</v>
      </c>
      <c r="AC19" s="1" t="s">
        <v>2633</v>
      </c>
      <c r="AG19" s="1" t="s">
        <v>2619</v>
      </c>
      <c r="AH19" s="1" t="s">
        <v>2619</v>
      </c>
      <c r="AI19" s="1" t="s">
        <v>2620</v>
      </c>
      <c r="AJ19" s="1" t="s">
        <v>2621</v>
      </c>
      <c r="AK19" s="1"/>
      <c r="AT19" s="12">
        <v>150</v>
      </c>
      <c r="AU19" s="5" t="s">
        <v>2642</v>
      </c>
      <c r="AV19" s="5" t="s">
        <v>2615</v>
      </c>
      <c r="AW19" s="1" t="s">
        <v>2751</v>
      </c>
    </row>
    <row r="20" spans="1:49" ht="15" customHeight="1" outlineLevel="1" x14ac:dyDescent="0.25">
      <c r="A20" s="81"/>
      <c r="B20" s="1" t="s">
        <v>2631</v>
      </c>
      <c r="C20" s="1" t="s">
        <v>2657</v>
      </c>
      <c r="D20" s="1" t="s">
        <v>2624</v>
      </c>
      <c r="E20" s="12">
        <v>5</v>
      </c>
      <c r="F20" s="12">
        <v>120</v>
      </c>
      <c r="G20" s="1">
        <v>60</v>
      </c>
      <c r="H20" s="1">
        <v>3</v>
      </c>
      <c r="I20" s="1"/>
      <c r="J20" s="12" t="s">
        <v>2646</v>
      </c>
      <c r="K20" s="1" t="s">
        <v>2644</v>
      </c>
      <c r="L20" s="1" t="s">
        <v>2614</v>
      </c>
      <c r="M20" s="1" t="s">
        <v>2592</v>
      </c>
      <c r="N20" s="1" t="s">
        <v>2591</v>
      </c>
      <c r="O20" s="1" t="s">
        <v>2591</v>
      </c>
      <c r="P20" s="1" t="s">
        <v>2672</v>
      </c>
      <c r="R20" s="12">
        <v>44</v>
      </c>
      <c r="S20" s="71" t="str">
        <f t="shared" si="9"/>
        <v>Ссылка</v>
      </c>
      <c r="T20" s="17">
        <f t="shared" si="10"/>
        <v>17683</v>
      </c>
      <c r="U20" s="17">
        <f t="shared" si="11"/>
        <v>15603</v>
      </c>
      <c r="V20" s="17">
        <f t="shared" si="12"/>
        <v>15083</v>
      </c>
      <c r="W20" s="17">
        <f t="shared" si="4"/>
        <v>14043</v>
      </c>
      <c r="X20" s="86">
        <v>10401.6</v>
      </c>
      <c r="Y20" s="17">
        <f t="shared" si="13"/>
        <v>14736</v>
      </c>
      <c r="Z20" s="17">
        <f t="shared" si="14"/>
        <v>13003</v>
      </c>
      <c r="AA20" s="17">
        <f t="shared" si="15"/>
        <v>12570</v>
      </c>
      <c r="AB20" s="17">
        <f t="shared" si="16"/>
        <v>11703</v>
      </c>
      <c r="AC20" s="1" t="s">
        <v>2633</v>
      </c>
      <c r="AG20" s="1" t="s">
        <v>2619</v>
      </c>
      <c r="AH20" s="1" t="s">
        <v>2619</v>
      </c>
      <c r="AI20" s="1" t="s">
        <v>2620</v>
      </c>
      <c r="AJ20" s="1" t="s">
        <v>2621</v>
      </c>
      <c r="AK20" s="1"/>
      <c r="AT20" s="1">
        <v>160</v>
      </c>
      <c r="AU20" s="5" t="s">
        <v>2642</v>
      </c>
      <c r="AV20" s="5" t="s">
        <v>2615</v>
      </c>
      <c r="AW20" s="1" t="s">
        <v>2752</v>
      </c>
    </row>
    <row r="21" spans="1:49" ht="15" customHeight="1" outlineLevel="1" x14ac:dyDescent="0.25">
      <c r="A21" s="81"/>
      <c r="B21" s="1" t="s">
        <v>2631</v>
      </c>
      <c r="C21" s="1" t="s">
        <v>2658</v>
      </c>
      <c r="D21" s="1" t="s">
        <v>2625</v>
      </c>
      <c r="E21" s="12">
        <v>6</v>
      </c>
      <c r="F21" s="12">
        <v>130</v>
      </c>
      <c r="G21" s="1">
        <v>60</v>
      </c>
      <c r="H21" s="1">
        <v>3</v>
      </c>
      <c r="I21" s="1"/>
      <c r="J21" s="12" t="s">
        <v>2646</v>
      </c>
      <c r="K21" s="1" t="s">
        <v>2644</v>
      </c>
      <c r="L21" s="1" t="s">
        <v>2614</v>
      </c>
      <c r="M21" s="1" t="s">
        <v>2592</v>
      </c>
      <c r="N21" s="1" t="s">
        <v>2591</v>
      </c>
      <c r="O21" s="1" t="s">
        <v>2591</v>
      </c>
      <c r="P21" s="1" t="s">
        <v>2672</v>
      </c>
      <c r="R21" s="12">
        <v>54</v>
      </c>
      <c r="S21" s="71" t="str">
        <f t="shared" si="9"/>
        <v>Ссылка</v>
      </c>
      <c r="T21" s="17">
        <f t="shared" si="10"/>
        <v>21767</v>
      </c>
      <c r="U21" s="17">
        <f t="shared" si="11"/>
        <v>19206</v>
      </c>
      <c r="V21" s="17">
        <f t="shared" si="12"/>
        <v>18566</v>
      </c>
      <c r="W21" s="17">
        <f t="shared" si="4"/>
        <v>17286</v>
      </c>
      <c r="X21" s="86">
        <v>12804.000000000002</v>
      </c>
      <c r="Y21" s="17">
        <f t="shared" si="13"/>
        <v>18140</v>
      </c>
      <c r="Z21" s="17">
        <f t="shared" si="14"/>
        <v>16005</v>
      </c>
      <c r="AA21" s="17">
        <f t="shared" si="15"/>
        <v>15472</v>
      </c>
      <c r="AB21" s="17">
        <f t="shared" si="16"/>
        <v>14405</v>
      </c>
      <c r="AC21" s="1" t="s">
        <v>2633</v>
      </c>
      <c r="AG21" s="1" t="s">
        <v>2619</v>
      </c>
      <c r="AH21" s="1" t="s">
        <v>2619</v>
      </c>
      <c r="AI21" s="1" t="s">
        <v>2620</v>
      </c>
      <c r="AJ21" s="1" t="s">
        <v>2621</v>
      </c>
      <c r="AK21" s="1"/>
      <c r="AT21" s="12">
        <v>170</v>
      </c>
      <c r="AU21" s="5" t="s">
        <v>2642</v>
      </c>
      <c r="AV21" s="5" t="s">
        <v>2615</v>
      </c>
      <c r="AW21" s="1" t="s">
        <v>2753</v>
      </c>
    </row>
    <row r="22" spans="1:49" ht="15" customHeight="1" outlineLevel="1" x14ac:dyDescent="0.25">
      <c r="A22" s="81"/>
      <c r="B22" s="1" t="s">
        <v>2631</v>
      </c>
      <c r="C22" s="1" t="s">
        <v>2659</v>
      </c>
      <c r="D22" s="1" t="s">
        <v>2626</v>
      </c>
      <c r="E22" s="12">
        <v>7</v>
      </c>
      <c r="F22" s="12">
        <v>140</v>
      </c>
      <c r="G22" s="1">
        <v>60</v>
      </c>
      <c r="H22" s="1">
        <v>3</v>
      </c>
      <c r="I22" s="1"/>
      <c r="J22" s="12" t="s">
        <v>2646</v>
      </c>
      <c r="K22" s="1" t="s">
        <v>2644</v>
      </c>
      <c r="L22" s="1" t="s">
        <v>2614</v>
      </c>
      <c r="M22" s="1" t="s">
        <v>2592</v>
      </c>
      <c r="N22" s="1" t="s">
        <v>2591</v>
      </c>
      <c r="O22" s="1" t="s">
        <v>2591</v>
      </c>
      <c r="P22" s="1" t="s">
        <v>2672</v>
      </c>
      <c r="R22" s="12">
        <v>64</v>
      </c>
      <c r="S22" s="71" t="str">
        <f t="shared" si="9"/>
        <v>Ссылка</v>
      </c>
      <c r="T22" s="17">
        <f t="shared" si="10"/>
        <v>25234</v>
      </c>
      <c r="U22" s="17">
        <f t="shared" si="11"/>
        <v>22266</v>
      </c>
      <c r="V22" s="17">
        <f t="shared" si="12"/>
        <v>21523</v>
      </c>
      <c r="W22" s="17">
        <f t="shared" si="4"/>
        <v>20039</v>
      </c>
      <c r="X22" s="86">
        <v>14843.400000000001</v>
      </c>
      <c r="Y22" s="17">
        <f t="shared" si="13"/>
        <v>21029</v>
      </c>
      <c r="Z22" s="17">
        <f t="shared" si="14"/>
        <v>18555</v>
      </c>
      <c r="AA22" s="17">
        <f t="shared" si="15"/>
        <v>17936</v>
      </c>
      <c r="AB22" s="17">
        <f t="shared" si="16"/>
        <v>16700</v>
      </c>
      <c r="AC22" s="1" t="s">
        <v>2633</v>
      </c>
      <c r="AG22" s="1" t="s">
        <v>2619</v>
      </c>
      <c r="AH22" s="1" t="s">
        <v>2619</v>
      </c>
      <c r="AI22" s="1" t="s">
        <v>2620</v>
      </c>
      <c r="AJ22" s="1" t="s">
        <v>2621</v>
      </c>
      <c r="AK22" s="1"/>
      <c r="AT22" s="1">
        <v>180</v>
      </c>
      <c r="AU22" s="5" t="s">
        <v>2642</v>
      </c>
      <c r="AV22" s="5" t="s">
        <v>2615</v>
      </c>
      <c r="AW22" s="1" t="s">
        <v>2754</v>
      </c>
    </row>
    <row r="23" spans="1:49" ht="15" customHeight="1" outlineLevel="1" x14ac:dyDescent="0.25">
      <c r="A23" s="81"/>
      <c r="B23" s="1" t="s">
        <v>2631</v>
      </c>
      <c r="C23" s="1" t="s">
        <v>2660</v>
      </c>
      <c r="D23" s="1" t="s">
        <v>2627</v>
      </c>
      <c r="E23" s="12">
        <v>8</v>
      </c>
      <c r="F23" s="12">
        <v>150</v>
      </c>
      <c r="G23" s="12">
        <v>60</v>
      </c>
      <c r="H23" s="12">
        <v>3</v>
      </c>
      <c r="J23" s="12" t="s">
        <v>2646</v>
      </c>
      <c r="K23" s="1" t="s">
        <v>2644</v>
      </c>
      <c r="L23" s="1" t="s">
        <v>2614</v>
      </c>
      <c r="M23" s="1" t="s">
        <v>2592</v>
      </c>
      <c r="N23" s="1" t="s">
        <v>2591</v>
      </c>
      <c r="O23" s="1" t="s">
        <v>2591</v>
      </c>
      <c r="P23" s="1" t="s">
        <v>2672</v>
      </c>
      <c r="R23" s="12">
        <v>99</v>
      </c>
      <c r="S23" s="71" t="str">
        <f t="shared" si="9"/>
        <v>Ссылка</v>
      </c>
      <c r="T23" s="17">
        <f t="shared" si="10"/>
        <v>30609</v>
      </c>
      <c r="U23" s="17">
        <f t="shared" si="11"/>
        <v>27008</v>
      </c>
      <c r="V23" s="17">
        <f t="shared" si="12"/>
        <v>26107</v>
      </c>
      <c r="W23" s="17">
        <f t="shared" si="4"/>
        <v>24307</v>
      </c>
      <c r="X23" s="86">
        <v>18004.800000000003</v>
      </c>
      <c r="Y23" s="17">
        <f t="shared" si="13"/>
        <v>25508</v>
      </c>
      <c r="Z23" s="17">
        <f t="shared" si="14"/>
        <v>22507</v>
      </c>
      <c r="AA23" s="17">
        <f t="shared" si="15"/>
        <v>21756</v>
      </c>
      <c r="AB23" s="17">
        <f t="shared" si="16"/>
        <v>20256</v>
      </c>
      <c r="AC23" s="1" t="s">
        <v>2633</v>
      </c>
      <c r="AG23" s="1" t="s">
        <v>2619</v>
      </c>
      <c r="AH23" s="1" t="s">
        <v>2619</v>
      </c>
      <c r="AI23" s="1" t="s">
        <v>2620</v>
      </c>
      <c r="AJ23" s="1" t="s">
        <v>2621</v>
      </c>
      <c r="AK23" s="1"/>
      <c r="AT23" s="12">
        <v>190</v>
      </c>
      <c r="AU23" s="5" t="s">
        <v>2642</v>
      </c>
      <c r="AV23" s="5" t="s">
        <v>2615</v>
      </c>
      <c r="AW23" s="1" t="s">
        <v>2755</v>
      </c>
    </row>
    <row r="24" spans="1:49" ht="15" customHeight="1" outlineLevel="1" x14ac:dyDescent="0.25">
      <c r="A24" s="81"/>
      <c r="B24" s="1" t="s">
        <v>2631</v>
      </c>
      <c r="C24" s="1" t="s">
        <v>2661</v>
      </c>
      <c r="D24" s="1" t="s">
        <v>2627</v>
      </c>
      <c r="E24" s="12">
        <v>8</v>
      </c>
      <c r="F24" s="12">
        <v>150</v>
      </c>
      <c r="G24" s="12">
        <v>60</v>
      </c>
      <c r="H24" s="12">
        <v>4</v>
      </c>
      <c r="J24" s="12" t="s">
        <v>2646</v>
      </c>
      <c r="K24" s="1" t="s">
        <v>2644</v>
      </c>
      <c r="L24" s="1" t="s">
        <v>2614</v>
      </c>
      <c r="M24" s="1" t="s">
        <v>2592</v>
      </c>
      <c r="N24" s="1" t="s">
        <v>2591</v>
      </c>
      <c r="O24" s="1" t="s">
        <v>2591</v>
      </c>
      <c r="P24" s="1" t="s">
        <v>2672</v>
      </c>
      <c r="R24" s="12">
        <v>77</v>
      </c>
      <c r="S24" s="71" t="str">
        <f t="shared" si="9"/>
        <v>Ссылка</v>
      </c>
      <c r="T24" s="17">
        <f t="shared" si="10"/>
        <v>36802</v>
      </c>
      <c r="U24" s="17">
        <f t="shared" si="11"/>
        <v>32472</v>
      </c>
      <c r="V24" s="17">
        <f t="shared" si="12"/>
        <v>31390</v>
      </c>
      <c r="W24" s="17">
        <f t="shared" si="4"/>
        <v>29225</v>
      </c>
      <c r="X24" s="86">
        <v>21648</v>
      </c>
      <c r="Y24" s="17">
        <f t="shared" si="13"/>
        <v>30669</v>
      </c>
      <c r="Z24" s="17">
        <f t="shared" si="14"/>
        <v>27060</v>
      </c>
      <c r="AA24" s="17">
        <f t="shared" si="15"/>
        <v>26159</v>
      </c>
      <c r="AB24" s="17">
        <f t="shared" si="16"/>
        <v>24355</v>
      </c>
      <c r="AC24" s="1" t="s">
        <v>2633</v>
      </c>
      <c r="AG24" s="1" t="s">
        <v>2619</v>
      </c>
      <c r="AH24" s="1" t="s">
        <v>2619</v>
      </c>
      <c r="AI24" s="1" t="s">
        <v>2620</v>
      </c>
      <c r="AJ24" s="1" t="s">
        <v>2621</v>
      </c>
      <c r="AK24" s="1"/>
      <c r="AT24" s="1">
        <v>200</v>
      </c>
      <c r="AU24" s="5" t="s">
        <v>2642</v>
      </c>
      <c r="AV24" s="5" t="s">
        <v>2615</v>
      </c>
      <c r="AW24" s="1" t="s">
        <v>2756</v>
      </c>
    </row>
    <row r="25" spans="1:49" ht="15" customHeight="1" outlineLevel="1" x14ac:dyDescent="0.25">
      <c r="A25" s="81"/>
      <c r="B25" s="1" t="s">
        <v>2631</v>
      </c>
      <c r="C25" s="1" t="s">
        <v>2662</v>
      </c>
      <c r="D25" s="1" t="s">
        <v>2628</v>
      </c>
      <c r="E25" s="12">
        <v>9</v>
      </c>
      <c r="F25" s="12">
        <v>160</v>
      </c>
      <c r="G25" s="12">
        <v>60</v>
      </c>
      <c r="H25" s="12">
        <v>3</v>
      </c>
      <c r="J25" s="1" t="s">
        <v>2644</v>
      </c>
      <c r="K25" s="1" t="s">
        <v>2645</v>
      </c>
      <c r="L25" s="1" t="s">
        <v>2614</v>
      </c>
      <c r="M25" s="1" t="s">
        <v>2592</v>
      </c>
      <c r="N25" s="1" t="s">
        <v>2591</v>
      </c>
      <c r="O25" s="1" t="s">
        <v>2591</v>
      </c>
      <c r="P25" s="1" t="s">
        <v>2648</v>
      </c>
      <c r="R25" s="12">
        <v>89</v>
      </c>
      <c r="S25" s="71" t="str">
        <f t="shared" si="9"/>
        <v>Ссылка</v>
      </c>
      <c r="T25" s="17">
        <f t="shared" si="10"/>
        <v>35900</v>
      </c>
      <c r="U25" s="17">
        <f t="shared" si="11"/>
        <v>31677</v>
      </c>
      <c r="V25" s="17">
        <f t="shared" si="12"/>
        <v>30621</v>
      </c>
      <c r="W25" s="17">
        <f t="shared" si="4"/>
        <v>28509</v>
      </c>
      <c r="X25" s="86">
        <v>21117.360000000001</v>
      </c>
      <c r="Y25" s="17">
        <f t="shared" si="13"/>
        <v>29917</v>
      </c>
      <c r="Z25" s="17">
        <f t="shared" si="14"/>
        <v>26398</v>
      </c>
      <c r="AA25" s="17">
        <f t="shared" si="15"/>
        <v>25518</v>
      </c>
      <c r="AB25" s="17">
        <f t="shared" si="16"/>
        <v>23758</v>
      </c>
      <c r="AC25" s="1" t="s">
        <v>2633</v>
      </c>
      <c r="AG25" s="1" t="s">
        <v>2619</v>
      </c>
      <c r="AH25" s="1" t="s">
        <v>2619</v>
      </c>
      <c r="AI25" s="1" t="s">
        <v>2620</v>
      </c>
      <c r="AJ25" s="1" t="s">
        <v>2621</v>
      </c>
      <c r="AK25" s="1"/>
      <c r="AT25" s="12">
        <v>210</v>
      </c>
      <c r="AU25" s="5" t="s">
        <v>2642</v>
      </c>
      <c r="AV25" s="5" t="s">
        <v>2615</v>
      </c>
      <c r="AW25" s="1" t="s">
        <v>2757</v>
      </c>
    </row>
    <row r="26" spans="1:49" ht="15" customHeight="1" outlineLevel="1" x14ac:dyDescent="0.25">
      <c r="A26" s="81"/>
      <c r="B26" s="1" t="s">
        <v>2631</v>
      </c>
      <c r="C26" s="1" t="s">
        <v>2663</v>
      </c>
      <c r="D26" s="1" t="s">
        <v>2628</v>
      </c>
      <c r="E26" s="12">
        <v>9</v>
      </c>
      <c r="F26" s="12">
        <v>160</v>
      </c>
      <c r="G26" s="12">
        <v>60</v>
      </c>
      <c r="H26" s="12">
        <v>4</v>
      </c>
      <c r="J26" s="1" t="s">
        <v>2644</v>
      </c>
      <c r="K26" s="1" t="s">
        <v>2645</v>
      </c>
      <c r="L26" s="1" t="s">
        <v>2614</v>
      </c>
      <c r="M26" s="1" t="s">
        <v>2592</v>
      </c>
      <c r="N26" s="1" t="s">
        <v>2591</v>
      </c>
      <c r="O26" s="1" t="s">
        <v>2591</v>
      </c>
      <c r="P26" s="1" t="s">
        <v>2648</v>
      </c>
      <c r="R26" s="12">
        <v>115</v>
      </c>
      <c r="S26" s="71" t="str">
        <f t="shared" si="9"/>
        <v>Ссылка</v>
      </c>
      <c r="T26" s="17">
        <f t="shared" si="10"/>
        <v>43714</v>
      </c>
      <c r="U26" s="17">
        <f t="shared" si="11"/>
        <v>38571</v>
      </c>
      <c r="V26" s="17">
        <f t="shared" si="12"/>
        <v>37285</v>
      </c>
      <c r="W26" s="17">
        <f t="shared" si="4"/>
        <v>34714</v>
      </c>
      <c r="X26" s="86">
        <v>25713.600000000002</v>
      </c>
      <c r="Y26" s="17">
        <f t="shared" si="13"/>
        <v>36429</v>
      </c>
      <c r="Z26" s="17">
        <f t="shared" si="14"/>
        <v>32143</v>
      </c>
      <c r="AA26" s="17">
        <f t="shared" si="15"/>
        <v>31071</v>
      </c>
      <c r="AB26" s="17">
        <f t="shared" si="16"/>
        <v>28929</v>
      </c>
      <c r="AC26" s="1" t="s">
        <v>2633</v>
      </c>
      <c r="AG26" s="1" t="s">
        <v>2619</v>
      </c>
      <c r="AH26" s="1" t="s">
        <v>2619</v>
      </c>
      <c r="AI26" s="1" t="s">
        <v>2620</v>
      </c>
      <c r="AJ26" s="1" t="s">
        <v>2621</v>
      </c>
      <c r="AK26" s="1"/>
      <c r="AT26" s="1">
        <v>220</v>
      </c>
      <c r="AU26" s="5" t="s">
        <v>2642</v>
      </c>
      <c r="AV26" s="5" t="s">
        <v>2615</v>
      </c>
      <c r="AW26" s="1" t="s">
        <v>2758</v>
      </c>
    </row>
    <row r="27" spans="1:49" ht="15" customHeight="1" outlineLevel="1" x14ac:dyDescent="0.25">
      <c r="A27" s="81"/>
      <c r="B27" s="1" t="s">
        <v>2631</v>
      </c>
      <c r="C27" s="1" t="s">
        <v>2664</v>
      </c>
      <c r="D27" s="1" t="s">
        <v>2629</v>
      </c>
      <c r="E27" s="12">
        <v>10</v>
      </c>
      <c r="F27" s="12">
        <v>170</v>
      </c>
      <c r="G27" s="12">
        <v>60</v>
      </c>
      <c r="H27" s="12">
        <v>3</v>
      </c>
      <c r="J27" s="1" t="s">
        <v>2644</v>
      </c>
      <c r="K27" s="1" t="s">
        <v>2645</v>
      </c>
      <c r="L27" s="1" t="s">
        <v>2614</v>
      </c>
      <c r="M27" s="1" t="s">
        <v>2592</v>
      </c>
      <c r="N27" s="1" t="s">
        <v>2591</v>
      </c>
      <c r="O27" s="1" t="s">
        <v>2591</v>
      </c>
      <c r="P27" s="1" t="s">
        <v>2648</v>
      </c>
      <c r="R27" s="12">
        <v>104</v>
      </c>
      <c r="S27" s="71" t="str">
        <f t="shared" si="9"/>
        <v>Ссылка</v>
      </c>
      <c r="T27" s="17">
        <f t="shared" si="10"/>
        <v>41539</v>
      </c>
      <c r="U27" s="17">
        <f t="shared" si="11"/>
        <v>36652</v>
      </c>
      <c r="V27" s="17">
        <f t="shared" si="12"/>
        <v>35431</v>
      </c>
      <c r="W27" s="17">
        <f t="shared" si="4"/>
        <v>32987</v>
      </c>
      <c r="X27" s="86">
        <v>24434.520000000004</v>
      </c>
      <c r="Y27" s="17">
        <f t="shared" si="13"/>
        <v>34616</v>
      </c>
      <c r="Z27" s="17">
        <f t="shared" si="14"/>
        <v>30544</v>
      </c>
      <c r="AA27" s="17">
        <f t="shared" si="15"/>
        <v>29526</v>
      </c>
      <c r="AB27" s="17">
        <f t="shared" si="16"/>
        <v>27490</v>
      </c>
      <c r="AC27" s="1" t="s">
        <v>2633</v>
      </c>
      <c r="AG27" s="1" t="s">
        <v>2619</v>
      </c>
      <c r="AH27" s="1" t="s">
        <v>2619</v>
      </c>
      <c r="AI27" s="1" t="s">
        <v>2620</v>
      </c>
      <c r="AJ27" s="1" t="s">
        <v>2621</v>
      </c>
      <c r="AK27" s="1"/>
      <c r="AT27" s="12">
        <v>230</v>
      </c>
      <c r="AU27" s="5" t="s">
        <v>2642</v>
      </c>
      <c r="AV27" s="5" t="s">
        <v>2615</v>
      </c>
      <c r="AW27" s="1" t="s">
        <v>2759</v>
      </c>
    </row>
    <row r="28" spans="1:49" ht="15" customHeight="1" outlineLevel="1" x14ac:dyDescent="0.25">
      <c r="A28" s="81"/>
      <c r="B28" s="1" t="s">
        <v>2631</v>
      </c>
      <c r="C28" s="1" t="s">
        <v>2665</v>
      </c>
      <c r="D28" s="1" t="s">
        <v>2629</v>
      </c>
      <c r="E28" s="12">
        <v>10</v>
      </c>
      <c r="F28" s="12">
        <v>170</v>
      </c>
      <c r="G28" s="12">
        <v>60</v>
      </c>
      <c r="H28" s="12">
        <v>4</v>
      </c>
      <c r="J28" s="1" t="s">
        <v>2644</v>
      </c>
      <c r="K28" s="1" t="s">
        <v>2645</v>
      </c>
      <c r="L28" s="1" t="s">
        <v>2614</v>
      </c>
      <c r="M28" s="1" t="s">
        <v>2592</v>
      </c>
      <c r="N28" s="1" t="s">
        <v>2591</v>
      </c>
      <c r="O28" s="1" t="s">
        <v>2591</v>
      </c>
      <c r="P28" s="1" t="s">
        <v>2648</v>
      </c>
      <c r="R28" s="12">
        <v>135</v>
      </c>
      <c r="S28" s="71" t="str">
        <f t="shared" si="9"/>
        <v>Ссылка</v>
      </c>
      <c r="T28" s="17">
        <f t="shared" si="10"/>
        <v>48906</v>
      </c>
      <c r="U28" s="17">
        <f t="shared" si="11"/>
        <v>43153</v>
      </c>
      <c r="V28" s="17">
        <f t="shared" si="12"/>
        <v>41714</v>
      </c>
      <c r="W28" s="17">
        <f t="shared" si="4"/>
        <v>38837</v>
      </c>
      <c r="X28" s="86">
        <v>28768.080000000002</v>
      </c>
      <c r="Y28" s="17">
        <f t="shared" si="13"/>
        <v>40755</v>
      </c>
      <c r="Z28" s="17">
        <f t="shared" si="14"/>
        <v>35961</v>
      </c>
      <c r="AA28" s="17">
        <f t="shared" si="15"/>
        <v>34762</v>
      </c>
      <c r="AB28" s="17">
        <f t="shared" si="16"/>
        <v>32365</v>
      </c>
      <c r="AC28" s="1" t="s">
        <v>2633</v>
      </c>
      <c r="AG28" s="1" t="s">
        <v>2619</v>
      </c>
      <c r="AH28" s="1" t="s">
        <v>2619</v>
      </c>
      <c r="AI28" s="1" t="s">
        <v>2620</v>
      </c>
      <c r="AJ28" s="1" t="s">
        <v>2621</v>
      </c>
      <c r="AK28" s="1"/>
      <c r="AT28" s="1">
        <v>240</v>
      </c>
      <c r="AU28" s="5" t="s">
        <v>2642</v>
      </c>
      <c r="AV28" s="5" t="s">
        <v>2615</v>
      </c>
      <c r="AW28" s="1" t="s">
        <v>2760</v>
      </c>
    </row>
    <row r="29" spans="1:49" ht="15" customHeight="1" outlineLevel="1" x14ac:dyDescent="0.25">
      <c r="A29" s="81"/>
      <c r="B29" s="1" t="s">
        <v>2631</v>
      </c>
      <c r="C29" s="1" t="s">
        <v>2666</v>
      </c>
      <c r="D29" s="1" t="s">
        <v>2629</v>
      </c>
      <c r="E29" s="12">
        <v>10</v>
      </c>
      <c r="F29" s="12">
        <v>200</v>
      </c>
      <c r="G29" s="12">
        <v>90</v>
      </c>
      <c r="H29" s="12">
        <v>3</v>
      </c>
      <c r="J29" s="1" t="s">
        <v>2644</v>
      </c>
      <c r="K29" s="1" t="s">
        <v>2645</v>
      </c>
      <c r="L29" s="1" t="s">
        <v>2614</v>
      </c>
      <c r="M29" s="1" t="s">
        <v>2592</v>
      </c>
      <c r="N29" s="1" t="s">
        <v>2591</v>
      </c>
      <c r="O29" s="1" t="s">
        <v>2591</v>
      </c>
      <c r="P29" s="1" t="s">
        <v>2648</v>
      </c>
      <c r="R29" s="12">
        <v>127</v>
      </c>
      <c r="S29" s="71" t="str">
        <f t="shared" si="9"/>
        <v>Ссылка</v>
      </c>
      <c r="T29" s="17">
        <f t="shared" si="10"/>
        <v>53071</v>
      </c>
      <c r="U29" s="17">
        <f t="shared" si="11"/>
        <v>46827</v>
      </c>
      <c r="V29" s="17">
        <f t="shared" si="12"/>
        <v>45267</v>
      </c>
      <c r="W29" s="17">
        <f t="shared" si="4"/>
        <v>42145</v>
      </c>
      <c r="X29" s="86">
        <v>31218.000000000004</v>
      </c>
      <c r="Y29" s="17">
        <f t="shared" si="13"/>
        <v>44226</v>
      </c>
      <c r="Z29" s="17">
        <f t="shared" si="14"/>
        <v>39023</v>
      </c>
      <c r="AA29" s="17">
        <f t="shared" si="15"/>
        <v>37723</v>
      </c>
      <c r="AB29" s="17">
        <f t="shared" si="16"/>
        <v>35121</v>
      </c>
      <c r="AC29" s="1" t="s">
        <v>2633</v>
      </c>
      <c r="AG29" s="1" t="s">
        <v>2619</v>
      </c>
      <c r="AH29" s="1" t="s">
        <v>2619</v>
      </c>
      <c r="AI29" s="1" t="s">
        <v>2620</v>
      </c>
      <c r="AJ29" s="1" t="s">
        <v>2621</v>
      </c>
      <c r="AK29" s="1"/>
      <c r="AT29" s="12">
        <v>250</v>
      </c>
      <c r="AU29" s="5" t="s">
        <v>2642</v>
      </c>
      <c r="AV29" s="5" t="s">
        <v>2615</v>
      </c>
      <c r="AW29" s="1" t="s">
        <v>2761</v>
      </c>
    </row>
    <row r="30" spans="1:49" ht="15" customHeight="1" outlineLevel="1" x14ac:dyDescent="0.25">
      <c r="A30" s="81"/>
      <c r="B30" s="1" t="s">
        <v>2631</v>
      </c>
      <c r="C30" s="1" t="s">
        <v>2667</v>
      </c>
      <c r="D30" s="1" t="s">
        <v>2629</v>
      </c>
      <c r="E30" s="12">
        <v>10</v>
      </c>
      <c r="F30" s="12">
        <v>200</v>
      </c>
      <c r="G30" s="12">
        <v>90</v>
      </c>
      <c r="H30" s="12">
        <v>4</v>
      </c>
      <c r="J30" s="1" t="s">
        <v>2644</v>
      </c>
      <c r="K30" s="1" t="s">
        <v>2645</v>
      </c>
      <c r="L30" s="1" t="s">
        <v>2614</v>
      </c>
      <c r="M30" s="1" t="s">
        <v>2592</v>
      </c>
      <c r="N30" s="1" t="s">
        <v>2591</v>
      </c>
      <c r="O30" s="1" t="s">
        <v>2591</v>
      </c>
      <c r="P30" s="1" t="s">
        <v>2648</v>
      </c>
      <c r="R30" s="12">
        <v>166</v>
      </c>
      <c r="S30" s="71" t="str">
        <f t="shared" si="9"/>
        <v>Ссылка</v>
      </c>
      <c r="T30" s="17">
        <f t="shared" si="10"/>
        <v>60694</v>
      </c>
      <c r="U30" s="17">
        <f t="shared" si="11"/>
        <v>53554</v>
      </c>
      <c r="V30" s="17">
        <f t="shared" si="12"/>
        <v>51768</v>
      </c>
      <c r="W30" s="17">
        <f t="shared" si="4"/>
        <v>48198</v>
      </c>
      <c r="X30" s="86">
        <v>35702.04</v>
      </c>
      <c r="Y30" s="17">
        <f t="shared" si="13"/>
        <v>50579</v>
      </c>
      <c r="Z30" s="17">
        <f t="shared" si="14"/>
        <v>44629</v>
      </c>
      <c r="AA30" s="17">
        <f t="shared" si="15"/>
        <v>43140</v>
      </c>
      <c r="AB30" s="17">
        <f t="shared" si="16"/>
        <v>40165</v>
      </c>
      <c r="AC30" s="1" t="s">
        <v>2633</v>
      </c>
      <c r="AG30" s="1" t="s">
        <v>2619</v>
      </c>
      <c r="AH30" s="1" t="s">
        <v>2619</v>
      </c>
      <c r="AI30" s="1" t="s">
        <v>2620</v>
      </c>
      <c r="AJ30" s="1" t="s">
        <v>2621</v>
      </c>
      <c r="AK30" s="1"/>
      <c r="AT30" s="1">
        <v>260</v>
      </c>
      <c r="AU30" s="5" t="s">
        <v>2642</v>
      </c>
      <c r="AV30" s="5" t="s">
        <v>2615</v>
      </c>
      <c r="AW30" s="1" t="s">
        <v>2762</v>
      </c>
    </row>
    <row r="31" spans="1:49" x14ac:dyDescent="0.25">
      <c r="A31" s="83" t="s">
        <v>2643</v>
      </c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</row>
    <row r="32" spans="1:49" ht="15" customHeight="1" outlineLevel="1" x14ac:dyDescent="0.25">
      <c r="B32" s="12" t="s">
        <v>2669</v>
      </c>
      <c r="C32" s="12" t="s">
        <v>2676</v>
      </c>
      <c r="D32" s="1" t="s">
        <v>2687</v>
      </c>
      <c r="E32" s="78" t="s">
        <v>2670</v>
      </c>
      <c r="I32" s="12">
        <v>1000</v>
      </c>
      <c r="J32" s="12" t="s">
        <v>2646</v>
      </c>
      <c r="K32" s="12" t="s">
        <v>2644</v>
      </c>
      <c r="L32" s="1" t="s">
        <v>2614</v>
      </c>
      <c r="P32" s="12" t="s">
        <v>2647</v>
      </c>
      <c r="Q32" s="12">
        <v>0.9</v>
      </c>
      <c r="R32" s="12">
        <v>160</v>
      </c>
      <c r="S32" s="71" t="str">
        <f>HYPERLINK(AW32, "Ссылка")</f>
        <v>Ссылка</v>
      </c>
      <c r="T32" s="17">
        <f>ROUNDUP(1.7*X32,0)</f>
        <v>7854</v>
      </c>
      <c r="U32" s="17">
        <f>ROUNDUP(1.5*X32,0)</f>
        <v>6930</v>
      </c>
      <c r="V32" s="17">
        <f>ROUNDUP(1.45*X32,0)</f>
        <v>6699</v>
      </c>
      <c r="W32" s="17">
        <f t="shared" si="4"/>
        <v>6237</v>
      </c>
      <c r="X32" s="12">
        <v>4620</v>
      </c>
      <c r="Y32" s="17">
        <f>ROUNDUP(T32/1.2,0)</f>
        <v>6545</v>
      </c>
      <c r="Z32" s="17">
        <f>ROUNDUP(U32/1.2,0)</f>
        <v>5775</v>
      </c>
      <c r="AA32" s="17">
        <f>ROUNDUP(V32/1.2,0)</f>
        <v>5583</v>
      </c>
      <c r="AB32" s="17">
        <f>ROUNDUP(W32/1.2,0)</f>
        <v>5198</v>
      </c>
      <c r="AC32" s="77" t="s">
        <v>2649</v>
      </c>
      <c r="AG32" s="12" t="s">
        <v>2650</v>
      </c>
      <c r="AH32" s="12" t="s">
        <v>2650</v>
      </c>
      <c r="AI32" s="1" t="s">
        <v>2651</v>
      </c>
      <c r="AT32" s="12">
        <v>10</v>
      </c>
      <c r="AU32" s="1" t="s">
        <v>2654</v>
      </c>
      <c r="AV32" s="1" t="s">
        <v>2653</v>
      </c>
      <c r="AW32" s="1" t="s">
        <v>2729</v>
      </c>
    </row>
    <row r="33" spans="2:49" ht="15" customHeight="1" outlineLevel="1" x14ac:dyDescent="0.25">
      <c r="B33" s="12" t="s">
        <v>2669</v>
      </c>
      <c r="C33" s="12" t="s">
        <v>2677</v>
      </c>
      <c r="D33" s="1" t="s">
        <v>2688</v>
      </c>
      <c r="E33" s="78" t="s">
        <v>2671</v>
      </c>
      <c r="I33" s="12">
        <v>1200</v>
      </c>
      <c r="J33" s="12" t="s">
        <v>2646</v>
      </c>
      <c r="K33" s="12" t="s">
        <v>2644</v>
      </c>
      <c r="L33" s="1" t="s">
        <v>2614</v>
      </c>
      <c r="P33" s="12" t="s">
        <v>2647</v>
      </c>
      <c r="Q33" s="12">
        <v>1</v>
      </c>
      <c r="R33" s="12">
        <v>200</v>
      </c>
      <c r="S33" s="71" t="str">
        <f t="shared" si="9"/>
        <v>Ссылка</v>
      </c>
      <c r="T33" s="17">
        <f t="shared" ref="T33:T39" si="17">ROUNDUP(1.7*X33,0)</f>
        <v>8303</v>
      </c>
      <c r="U33" s="17">
        <f t="shared" ref="U33:U39" si="18">ROUNDUP(1.5*X33,0)</f>
        <v>7326</v>
      </c>
      <c r="V33" s="17">
        <f t="shared" ref="V33:V39" si="19">ROUNDUP(1.45*X33,0)</f>
        <v>7082</v>
      </c>
      <c r="W33" s="17">
        <f t="shared" si="4"/>
        <v>6594</v>
      </c>
      <c r="X33" s="12">
        <v>4884</v>
      </c>
      <c r="Y33" s="17">
        <f t="shared" ref="Y33:Y39" si="20">ROUNDUP(T33/1.2,0)</f>
        <v>6920</v>
      </c>
      <c r="Z33" s="17">
        <f t="shared" ref="Z33:Z39" si="21">ROUNDUP(U33/1.2,0)</f>
        <v>6105</v>
      </c>
      <c r="AA33" s="17">
        <f t="shared" ref="AA33:AA39" si="22">ROUNDUP(V33/1.2,0)</f>
        <v>5902</v>
      </c>
      <c r="AB33" s="17">
        <f t="shared" ref="AB33:AB39" si="23">ROUNDUP(W33/1.2,0)</f>
        <v>5495</v>
      </c>
      <c r="AC33" s="77" t="s">
        <v>2649</v>
      </c>
      <c r="AG33" s="12" t="s">
        <v>2650</v>
      </c>
      <c r="AH33" s="12" t="s">
        <v>2650</v>
      </c>
      <c r="AI33" s="1" t="s">
        <v>2651</v>
      </c>
      <c r="AT33" s="12">
        <v>20</v>
      </c>
      <c r="AU33" s="1" t="s">
        <v>2654</v>
      </c>
      <c r="AV33" s="1" t="s">
        <v>2653</v>
      </c>
      <c r="AW33" s="1" t="s">
        <v>2730</v>
      </c>
    </row>
    <row r="34" spans="2:49" ht="15" customHeight="1" outlineLevel="1" x14ac:dyDescent="0.25">
      <c r="B34" s="12" t="s">
        <v>2669</v>
      </c>
      <c r="C34" s="12" t="s">
        <v>2678</v>
      </c>
      <c r="D34" s="1" t="s">
        <v>2689</v>
      </c>
      <c r="E34" s="78" t="s">
        <v>2674</v>
      </c>
      <c r="I34" s="12">
        <v>1500</v>
      </c>
      <c r="J34" s="12" t="s">
        <v>2646</v>
      </c>
      <c r="K34" s="12" t="s">
        <v>2644</v>
      </c>
      <c r="L34" s="1" t="s">
        <v>2614</v>
      </c>
      <c r="P34" s="12" t="s">
        <v>2647</v>
      </c>
      <c r="Q34" s="12">
        <v>1.3</v>
      </c>
      <c r="R34" s="12">
        <v>265</v>
      </c>
      <c r="S34" s="71" t="str">
        <f t="shared" si="9"/>
        <v>Ссылка</v>
      </c>
      <c r="T34" s="17">
        <f t="shared" si="17"/>
        <v>9650</v>
      </c>
      <c r="U34" s="17">
        <f t="shared" si="18"/>
        <v>8514</v>
      </c>
      <c r="V34" s="17">
        <f t="shared" si="19"/>
        <v>8231</v>
      </c>
      <c r="W34" s="17">
        <f t="shared" si="4"/>
        <v>7663</v>
      </c>
      <c r="X34" s="12">
        <v>5676.0000000000009</v>
      </c>
      <c r="Y34" s="17">
        <f t="shared" si="20"/>
        <v>8042</v>
      </c>
      <c r="Z34" s="17">
        <f t="shared" si="21"/>
        <v>7095</v>
      </c>
      <c r="AA34" s="17">
        <f t="shared" si="22"/>
        <v>6860</v>
      </c>
      <c r="AB34" s="17">
        <f t="shared" si="23"/>
        <v>6386</v>
      </c>
      <c r="AC34" s="77" t="s">
        <v>2649</v>
      </c>
      <c r="AG34" s="12" t="s">
        <v>2650</v>
      </c>
      <c r="AH34" s="12" t="s">
        <v>2650</v>
      </c>
      <c r="AI34" s="1" t="s">
        <v>2651</v>
      </c>
      <c r="AT34" s="12">
        <v>30</v>
      </c>
      <c r="AU34" s="1" t="s">
        <v>2654</v>
      </c>
      <c r="AV34" s="1" t="s">
        <v>2653</v>
      </c>
      <c r="AW34" s="1" t="s">
        <v>2731</v>
      </c>
    </row>
    <row r="35" spans="2:49" ht="15" customHeight="1" outlineLevel="1" x14ac:dyDescent="0.25">
      <c r="B35" s="12" t="s">
        <v>2669</v>
      </c>
      <c r="C35" s="12" t="s">
        <v>2679</v>
      </c>
      <c r="D35" s="1" t="s">
        <v>2690</v>
      </c>
      <c r="E35" s="78" t="s">
        <v>2675</v>
      </c>
      <c r="I35" s="12">
        <v>1700</v>
      </c>
      <c r="J35" s="12" t="s">
        <v>2646</v>
      </c>
      <c r="K35" s="12" t="s">
        <v>2644</v>
      </c>
      <c r="L35" s="1" t="s">
        <v>2614</v>
      </c>
      <c r="P35" s="12" t="s">
        <v>2647</v>
      </c>
      <c r="Q35" s="12">
        <v>1.5</v>
      </c>
      <c r="R35" s="12">
        <v>305</v>
      </c>
      <c r="S35" s="71" t="str">
        <f t="shared" si="9"/>
        <v>Ссылка</v>
      </c>
      <c r="T35" s="17">
        <f t="shared" si="17"/>
        <v>14362</v>
      </c>
      <c r="U35" s="17">
        <f t="shared" si="18"/>
        <v>12672</v>
      </c>
      <c r="V35" s="17">
        <f t="shared" si="19"/>
        <v>12250</v>
      </c>
      <c r="W35" s="17">
        <f t="shared" si="4"/>
        <v>11405</v>
      </c>
      <c r="X35" s="12">
        <v>8448</v>
      </c>
      <c r="Y35" s="17">
        <f t="shared" si="20"/>
        <v>11969</v>
      </c>
      <c r="Z35" s="17">
        <f t="shared" si="21"/>
        <v>10560</v>
      </c>
      <c r="AA35" s="17">
        <f t="shared" si="22"/>
        <v>10209</v>
      </c>
      <c r="AB35" s="17">
        <f t="shared" si="23"/>
        <v>9505</v>
      </c>
      <c r="AC35" s="77" t="s">
        <v>2649</v>
      </c>
      <c r="AG35" s="12" t="s">
        <v>2650</v>
      </c>
      <c r="AH35" s="12" t="s">
        <v>2650</v>
      </c>
      <c r="AI35" s="1" t="s">
        <v>2651</v>
      </c>
      <c r="AT35" s="12">
        <v>40</v>
      </c>
      <c r="AU35" s="1" t="s">
        <v>2654</v>
      </c>
      <c r="AV35" s="1" t="s">
        <v>2653</v>
      </c>
      <c r="AW35" s="1" t="s">
        <v>2732</v>
      </c>
    </row>
    <row r="36" spans="2:49" ht="15" customHeight="1" outlineLevel="1" x14ac:dyDescent="0.25">
      <c r="B36" s="12" t="s">
        <v>2673</v>
      </c>
      <c r="C36" s="12" t="s">
        <v>2680</v>
      </c>
      <c r="D36" s="1" t="s">
        <v>2688</v>
      </c>
      <c r="E36" s="78" t="s">
        <v>2671</v>
      </c>
      <c r="I36" s="12">
        <v>1000</v>
      </c>
      <c r="J36" s="12" t="s">
        <v>2644</v>
      </c>
      <c r="K36" s="12" t="s">
        <v>2645</v>
      </c>
      <c r="L36" s="1" t="s">
        <v>2614</v>
      </c>
      <c r="P36" s="12" t="s">
        <v>2648</v>
      </c>
      <c r="Q36" s="12">
        <v>1.6</v>
      </c>
      <c r="R36" s="12">
        <v>305</v>
      </c>
      <c r="S36" s="71" t="str">
        <f t="shared" si="9"/>
        <v>Ссылка</v>
      </c>
      <c r="T36" s="17">
        <f t="shared" si="17"/>
        <v>9650</v>
      </c>
      <c r="U36" s="17">
        <f t="shared" si="18"/>
        <v>8514</v>
      </c>
      <c r="V36" s="17">
        <f t="shared" si="19"/>
        <v>8231</v>
      </c>
      <c r="W36" s="17">
        <f t="shared" si="4"/>
        <v>7663</v>
      </c>
      <c r="X36" s="12">
        <v>5676.0000000000009</v>
      </c>
      <c r="Y36" s="17">
        <f t="shared" si="20"/>
        <v>8042</v>
      </c>
      <c r="Z36" s="17">
        <f t="shared" si="21"/>
        <v>7095</v>
      </c>
      <c r="AA36" s="17">
        <f t="shared" si="22"/>
        <v>6860</v>
      </c>
      <c r="AB36" s="17">
        <f t="shared" si="23"/>
        <v>6386</v>
      </c>
      <c r="AC36" s="77" t="s">
        <v>2649</v>
      </c>
      <c r="AG36" s="12" t="s">
        <v>2650</v>
      </c>
      <c r="AH36" s="12" t="s">
        <v>2650</v>
      </c>
      <c r="AI36" s="1" t="s">
        <v>2652</v>
      </c>
      <c r="AT36" s="12">
        <v>50</v>
      </c>
      <c r="AU36" s="1" t="s">
        <v>2654</v>
      </c>
      <c r="AV36" s="1" t="s">
        <v>2653</v>
      </c>
      <c r="AW36" s="1" t="s">
        <v>2733</v>
      </c>
    </row>
    <row r="37" spans="2:49" ht="15" customHeight="1" outlineLevel="1" x14ac:dyDescent="0.25">
      <c r="B37" s="12" t="s">
        <v>2673</v>
      </c>
      <c r="C37" s="12" t="s">
        <v>2681</v>
      </c>
      <c r="D37" s="1" t="s">
        <v>2691</v>
      </c>
      <c r="E37" s="78" t="s">
        <v>2684</v>
      </c>
      <c r="I37" s="12">
        <v>1200</v>
      </c>
      <c r="J37" s="12" t="s">
        <v>2644</v>
      </c>
      <c r="K37" s="12" t="s">
        <v>2645</v>
      </c>
      <c r="L37" s="1" t="s">
        <v>2614</v>
      </c>
      <c r="P37" s="12" t="s">
        <v>2648</v>
      </c>
      <c r="Q37" s="12">
        <v>1.9</v>
      </c>
      <c r="R37" s="12">
        <v>380</v>
      </c>
      <c r="S37" s="71" t="str">
        <f t="shared" si="9"/>
        <v>Ссылка</v>
      </c>
      <c r="T37" s="17">
        <f t="shared" si="17"/>
        <v>10323</v>
      </c>
      <c r="U37" s="17">
        <f t="shared" si="18"/>
        <v>9108</v>
      </c>
      <c r="V37" s="17">
        <f t="shared" si="19"/>
        <v>8805</v>
      </c>
      <c r="W37" s="17">
        <f t="shared" si="4"/>
        <v>8198</v>
      </c>
      <c r="X37" s="12">
        <v>6072.0000000000009</v>
      </c>
      <c r="Y37" s="17">
        <f t="shared" si="20"/>
        <v>8603</v>
      </c>
      <c r="Z37" s="17">
        <f t="shared" si="21"/>
        <v>7590</v>
      </c>
      <c r="AA37" s="17">
        <f t="shared" si="22"/>
        <v>7338</v>
      </c>
      <c r="AB37" s="17">
        <f t="shared" si="23"/>
        <v>6832</v>
      </c>
      <c r="AC37" s="77" t="s">
        <v>2649</v>
      </c>
      <c r="AG37" s="12" t="s">
        <v>2650</v>
      </c>
      <c r="AH37" s="12" t="s">
        <v>2650</v>
      </c>
      <c r="AI37" s="1" t="s">
        <v>2652</v>
      </c>
      <c r="AT37" s="12">
        <v>60</v>
      </c>
      <c r="AU37" s="1" t="s">
        <v>2654</v>
      </c>
      <c r="AV37" s="1" t="s">
        <v>2653</v>
      </c>
      <c r="AW37" s="1" t="s">
        <v>2734</v>
      </c>
    </row>
    <row r="38" spans="2:49" ht="15" customHeight="1" outlineLevel="1" x14ac:dyDescent="0.25">
      <c r="B38" s="12" t="s">
        <v>2673</v>
      </c>
      <c r="C38" s="12" t="s">
        <v>2682</v>
      </c>
      <c r="D38" s="1" t="s">
        <v>2692</v>
      </c>
      <c r="E38" s="78" t="s">
        <v>2685</v>
      </c>
      <c r="I38" s="12">
        <v>1500</v>
      </c>
      <c r="J38" s="12" t="s">
        <v>2644</v>
      </c>
      <c r="K38" s="12" t="s">
        <v>2645</v>
      </c>
      <c r="L38" s="1" t="s">
        <v>2614</v>
      </c>
      <c r="P38" s="12" t="s">
        <v>2648</v>
      </c>
      <c r="Q38" s="12">
        <v>2.4</v>
      </c>
      <c r="R38" s="12">
        <v>500</v>
      </c>
      <c r="S38" s="71" t="str">
        <f t="shared" si="9"/>
        <v>Ссылка</v>
      </c>
      <c r="T38" s="17">
        <f t="shared" si="17"/>
        <v>12342</v>
      </c>
      <c r="U38" s="17">
        <f t="shared" si="18"/>
        <v>10890</v>
      </c>
      <c r="V38" s="17">
        <f t="shared" si="19"/>
        <v>10527</v>
      </c>
      <c r="W38" s="17">
        <f t="shared" si="4"/>
        <v>9801</v>
      </c>
      <c r="X38" s="12">
        <v>7260.0000000000009</v>
      </c>
      <c r="Y38" s="17">
        <f t="shared" si="20"/>
        <v>10285</v>
      </c>
      <c r="Z38" s="17">
        <f t="shared" si="21"/>
        <v>9075</v>
      </c>
      <c r="AA38" s="17">
        <f t="shared" si="22"/>
        <v>8773</v>
      </c>
      <c r="AB38" s="17">
        <f t="shared" si="23"/>
        <v>8168</v>
      </c>
      <c r="AC38" s="77" t="s">
        <v>2649</v>
      </c>
      <c r="AG38" s="12" t="s">
        <v>2650</v>
      </c>
      <c r="AH38" s="12" t="s">
        <v>2650</v>
      </c>
      <c r="AI38" s="1" t="s">
        <v>2652</v>
      </c>
      <c r="AT38" s="12">
        <v>70</v>
      </c>
      <c r="AU38" s="1" t="s">
        <v>2654</v>
      </c>
      <c r="AV38" s="1" t="s">
        <v>2653</v>
      </c>
      <c r="AW38" s="1" t="s">
        <v>2735</v>
      </c>
    </row>
    <row r="39" spans="2:49" ht="15" customHeight="1" outlineLevel="1" x14ac:dyDescent="0.25">
      <c r="B39" s="12" t="s">
        <v>2673</v>
      </c>
      <c r="C39" s="12" t="s">
        <v>2683</v>
      </c>
      <c r="D39" s="1" t="s">
        <v>2693</v>
      </c>
      <c r="E39" s="78" t="s">
        <v>2686</v>
      </c>
      <c r="I39" s="12">
        <v>1700</v>
      </c>
      <c r="J39" s="12" t="s">
        <v>2644</v>
      </c>
      <c r="K39" s="12" t="s">
        <v>2645</v>
      </c>
      <c r="L39" s="1" t="s">
        <v>2614</v>
      </c>
      <c r="P39" s="12" t="s">
        <v>2648</v>
      </c>
      <c r="Q39" s="12">
        <v>2.7</v>
      </c>
      <c r="R39" s="12">
        <v>580</v>
      </c>
      <c r="S39" s="71" t="str">
        <f t="shared" si="9"/>
        <v>Ссылка</v>
      </c>
      <c r="T39" s="17">
        <f t="shared" si="17"/>
        <v>0</v>
      </c>
      <c r="U39" s="17">
        <f t="shared" si="18"/>
        <v>0</v>
      </c>
      <c r="V39" s="17">
        <f t="shared" si="19"/>
        <v>0</v>
      </c>
      <c r="W39" s="17">
        <f t="shared" si="4"/>
        <v>0</v>
      </c>
      <c r="Y39" s="17">
        <f t="shared" si="20"/>
        <v>0</v>
      </c>
      <c r="Z39" s="17">
        <f t="shared" si="21"/>
        <v>0</v>
      </c>
      <c r="AA39" s="17">
        <f t="shared" si="22"/>
        <v>0</v>
      </c>
      <c r="AB39" s="17">
        <f t="shared" si="23"/>
        <v>0</v>
      </c>
      <c r="AC39" s="77" t="s">
        <v>2649</v>
      </c>
      <c r="AG39" s="12" t="s">
        <v>2650</v>
      </c>
      <c r="AH39" s="12" t="s">
        <v>2650</v>
      </c>
      <c r="AI39" s="1" t="s">
        <v>2652</v>
      </c>
      <c r="AT39" s="12">
        <v>80</v>
      </c>
      <c r="AU39" s="1" t="s">
        <v>2654</v>
      </c>
      <c r="AV39" s="1" t="s">
        <v>2653</v>
      </c>
      <c r="AW39" s="1" t="s">
        <v>2736</v>
      </c>
    </row>
  </sheetData>
  <autoFilter ref="A1:AW16"/>
  <conditionalFormatting sqref="A18:I30 L18:O24 K11:S16 L4:S10 Q18:S30 M32:S39 A3:AW3 A17:AW17 X4:AW16 A31:AW31 X18:AW30 X32:AW39">
    <cfRule type="expression" dxfId="55" priority="21">
      <formula>MOD(ROW(),2)=0</formula>
    </cfRule>
  </conditionalFormatting>
  <conditionalFormatting sqref="A4:J10 A11:I16 AC4:AW16">
    <cfRule type="expression" dxfId="54" priority="20">
      <formula>MOD(ROW(),2)=0</formula>
    </cfRule>
  </conditionalFormatting>
  <conditionalFormatting sqref="K18:K24">
    <cfRule type="expression" dxfId="53" priority="19">
      <formula>MOD(ROW(),2)=0</formula>
    </cfRule>
  </conditionalFormatting>
  <conditionalFormatting sqref="J18:J24">
    <cfRule type="expression" dxfId="52" priority="18">
      <formula>MOD(ROW(),2)=0</formula>
    </cfRule>
  </conditionalFormatting>
  <conditionalFormatting sqref="J32:J39">
    <cfRule type="expression" dxfId="51" priority="17">
      <formula>MOD(ROW(),2)=0</formula>
    </cfRule>
  </conditionalFormatting>
  <conditionalFormatting sqref="S32:S39">
    <cfRule type="expression" dxfId="50" priority="16">
      <formula>MOD(ROW(),2)=0</formula>
    </cfRule>
  </conditionalFormatting>
  <conditionalFormatting sqref="A32:C39 E32:K39 AC32:AW39">
    <cfRule type="expression" dxfId="49" priority="13">
      <formula>MOD(ROW(),2)=0</formula>
    </cfRule>
  </conditionalFormatting>
  <conditionalFormatting sqref="L32:L39">
    <cfRule type="expression" dxfId="48" priority="12">
      <formula>MOD(ROW(),2)=0</formula>
    </cfRule>
  </conditionalFormatting>
  <conditionalFormatting sqref="J11:J16">
    <cfRule type="expression" dxfId="47" priority="11">
      <formula>MOD(ROW(),2)=0</formula>
    </cfRule>
  </conditionalFormatting>
  <conditionalFormatting sqref="K25:P30">
    <cfRule type="expression" dxfId="46" priority="10">
      <formula>MOD(ROW(),2)=0</formula>
    </cfRule>
  </conditionalFormatting>
  <conditionalFormatting sqref="J25:J30">
    <cfRule type="expression" dxfId="45" priority="9">
      <formula>MOD(ROW(),2)=0</formula>
    </cfRule>
  </conditionalFormatting>
  <conditionalFormatting sqref="P18:P24">
    <cfRule type="expression" dxfId="44" priority="8">
      <formula>MOD(ROW(),2)=0</formula>
    </cfRule>
  </conditionalFormatting>
  <conditionalFormatting sqref="K4:K10">
    <cfRule type="expression" dxfId="43" priority="7">
      <formula>MOD(ROW(),2)=0</formula>
    </cfRule>
  </conditionalFormatting>
  <conditionalFormatting sqref="D32:D39">
    <cfRule type="expression" dxfId="42" priority="6">
      <formula>MOD(ROW(),2)=0</formula>
    </cfRule>
  </conditionalFormatting>
  <conditionalFormatting sqref="A4:S16 A18:S30 A32:S39">
    <cfRule type="expression" dxfId="41" priority="5">
      <formula>MOD(ROW(),2)=0</formula>
    </cfRule>
  </conditionalFormatting>
  <conditionalFormatting sqref="T4:W16">
    <cfRule type="expression" dxfId="40" priority="3">
      <formula>MOD(ROW(),2)=0</formula>
    </cfRule>
  </conditionalFormatting>
  <conditionalFormatting sqref="T18:W30">
    <cfRule type="expression" dxfId="39" priority="2">
      <formula>MOD(ROW(),2)=0</formula>
    </cfRule>
  </conditionalFormatting>
  <conditionalFormatting sqref="T32:W39">
    <cfRule type="expression" dxfId="38" priority="1">
      <formula>MOD(ROW(),2)=0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7" tint="0.79998168889431442"/>
  </sheetPr>
  <dimension ref="A1:C34"/>
  <sheetViews>
    <sheetView zoomScaleNormal="100" zoomScaleSheetLayoutView="130" workbookViewId="0">
      <selection activeCell="E38" sqref="E38"/>
    </sheetView>
  </sheetViews>
  <sheetFormatPr defaultRowHeight="15" x14ac:dyDescent="0.25"/>
  <cols>
    <col min="1" max="1" width="3" style="25" bestFit="1" customWidth="1"/>
    <col min="2" max="2" width="37" customWidth="1"/>
    <col min="3" max="3" width="63.42578125" style="8" bestFit="1" customWidth="1"/>
  </cols>
  <sheetData>
    <row r="1" spans="1:3" x14ac:dyDescent="0.25">
      <c r="B1" s="28" t="s">
        <v>2433</v>
      </c>
    </row>
    <row r="2" spans="1:3" x14ac:dyDescent="0.25">
      <c r="B2" s="29" t="s">
        <v>2434</v>
      </c>
    </row>
    <row r="3" spans="1:3" x14ac:dyDescent="0.25">
      <c r="B3" s="29" t="s">
        <v>2435</v>
      </c>
    </row>
    <row r="4" spans="1:3" x14ac:dyDescent="0.25">
      <c r="B4" s="28" t="s">
        <v>2436</v>
      </c>
      <c r="C4" s="31"/>
    </row>
    <row r="5" spans="1:3" x14ac:dyDescent="0.25">
      <c r="B5" s="28" t="s">
        <v>2437</v>
      </c>
    </row>
    <row r="8" spans="1:3" ht="18.75" x14ac:dyDescent="0.3">
      <c r="B8" s="269" t="s">
        <v>2438</v>
      </c>
      <c r="C8" s="269"/>
    </row>
    <row r="9" spans="1:3" x14ac:dyDescent="0.25">
      <c r="A9" s="25">
        <v>1</v>
      </c>
      <c r="B9" s="26" t="s">
        <v>57</v>
      </c>
      <c r="C9" s="1" t="s">
        <v>2933</v>
      </c>
    </row>
    <row r="10" spans="1:3" x14ac:dyDescent="0.25">
      <c r="A10" s="25">
        <v>2</v>
      </c>
      <c r="B10" s="26" t="s">
        <v>56</v>
      </c>
      <c r="C10" s="27">
        <f>VLOOKUP($C$9,'Прайс свет'!$C:$AB,'КП Свет'!A10,FALSE)</f>
        <v>3884</v>
      </c>
    </row>
    <row r="11" spans="1:3" x14ac:dyDescent="0.25">
      <c r="A11" s="25">
        <v>3</v>
      </c>
      <c r="B11" s="26" t="s">
        <v>55</v>
      </c>
      <c r="C11" s="27">
        <f>VLOOKUP($C$9,'Прайс свет'!$C:$AB,'КП Свет'!A11,FALSE)</f>
        <v>28</v>
      </c>
    </row>
    <row r="12" spans="1:3" x14ac:dyDescent="0.25">
      <c r="A12" s="25">
        <v>4</v>
      </c>
      <c r="B12" s="26" t="s">
        <v>54</v>
      </c>
      <c r="C12" s="27">
        <f>VLOOKUP($C$9,'Прайс свет'!$C:$AB,'КП Свет'!A12,FALSE)</f>
        <v>138.71428571428572</v>
      </c>
    </row>
    <row r="13" spans="1:3" x14ac:dyDescent="0.25">
      <c r="A13" s="25">
        <v>5</v>
      </c>
      <c r="B13" s="26" t="s">
        <v>53</v>
      </c>
      <c r="C13" s="27" t="str">
        <f>VLOOKUP($C$9,'Прайс свет'!$C:$AB,'КП Свет'!A13,FALSE)</f>
        <v>SB-00015936</v>
      </c>
    </row>
    <row r="14" spans="1:3" x14ac:dyDescent="0.25">
      <c r="A14" s="25">
        <v>6</v>
      </c>
      <c r="B14" s="26" t="s">
        <v>52</v>
      </c>
      <c r="C14" s="27" t="str">
        <f>VLOOKUP($C$9,'Прайс свет'!$C:$AB,'КП Свет'!A14,FALSE)</f>
        <v>Д, 120</v>
      </c>
    </row>
    <row r="15" spans="1:3" x14ac:dyDescent="0.25">
      <c r="A15" s="25">
        <v>7</v>
      </c>
      <c r="B15" s="26" t="s">
        <v>51</v>
      </c>
      <c r="C15" s="27">
        <f>VLOOKUP($C$9,'Прайс свет'!$C:$AB,'КП Свет'!A15,FALSE)</f>
        <v>20</v>
      </c>
    </row>
    <row r="16" spans="1:3" x14ac:dyDescent="0.25">
      <c r="A16" s="25">
        <v>8</v>
      </c>
      <c r="B16" s="26" t="s">
        <v>50</v>
      </c>
      <c r="C16" s="27" t="str">
        <f>VLOOKUP($C$9,'Прайс свет'!$C:$AB,'КП Свет'!A16,FALSE)</f>
        <v>5 лет</v>
      </c>
    </row>
    <row r="17" spans="1:3" x14ac:dyDescent="0.25">
      <c r="A17" s="25">
        <v>9</v>
      </c>
      <c r="B17" s="26" t="s">
        <v>49</v>
      </c>
      <c r="C17" s="27" t="str">
        <f>VLOOKUP($C$9,'Прайс свет'!$C:$AB,'КП Свет'!A17,FALSE)</f>
        <v>176-264В АС, 50Гц</v>
      </c>
    </row>
    <row r="18" spans="1:3" x14ac:dyDescent="0.25">
      <c r="A18" s="25">
        <v>10</v>
      </c>
      <c r="B18" s="26" t="s">
        <v>48</v>
      </c>
      <c r="C18" s="27" t="str">
        <f>VLOOKUP($C$9,'Прайс свет'!$C:$AB,'КП Свет'!A18,FALSE)</f>
        <v>≥0,95</v>
      </c>
    </row>
    <row r="19" spans="1:3" x14ac:dyDescent="0.25">
      <c r="A19" s="25">
        <v>11</v>
      </c>
      <c r="B19" s="26" t="s">
        <v>47</v>
      </c>
      <c r="C19" s="27" t="str">
        <f>VLOOKUP($C$9,'Прайс свет'!$C:$AB,'КП Свет'!A19,FALSE)</f>
        <v>Аргос</v>
      </c>
    </row>
    <row r="20" spans="1:3" x14ac:dyDescent="0.25">
      <c r="A20" s="25">
        <v>12</v>
      </c>
      <c r="B20" s="26" t="s">
        <v>46</v>
      </c>
      <c r="C20" s="27" t="str">
        <f>VLOOKUP($C$9,'Прайс свет'!$C:$AB,'КП Свет'!A20,FALSE)</f>
        <v>I</v>
      </c>
    </row>
    <row r="21" spans="1:3" x14ac:dyDescent="0.25">
      <c r="A21" s="25">
        <v>13</v>
      </c>
      <c r="B21" s="26" t="s">
        <v>45</v>
      </c>
      <c r="C21" s="27" t="str">
        <f>VLOOKUP($C$9,'Прайс свет'!$C:$AB,'КП Свет'!A21,FALSE)</f>
        <v>Призматический полистирол</v>
      </c>
    </row>
    <row r="22" spans="1:3" x14ac:dyDescent="0.25">
      <c r="A22" s="25">
        <v>14</v>
      </c>
      <c r="B22" s="26" t="s">
        <v>44</v>
      </c>
      <c r="C22" s="27" t="str">
        <f>VLOOKUP($C$9,'Прайс свет'!$C:$AB,'КП Свет'!A22,FALSE)</f>
        <v>&lt;1%</v>
      </c>
    </row>
    <row r="23" spans="1:3" x14ac:dyDescent="0.25">
      <c r="A23" s="25">
        <v>15</v>
      </c>
      <c r="B23" s="26" t="s">
        <v>43</v>
      </c>
      <c r="C23" s="27" t="str">
        <f>VLOOKUP($C$9,'Прайс свет'!$C:$AB,'КП Свет'!A23,FALSE)</f>
        <v>5000К</v>
      </c>
    </row>
    <row r="24" spans="1:3" x14ac:dyDescent="0.25">
      <c r="A24" s="25">
        <v>16</v>
      </c>
      <c r="B24" s="26" t="s">
        <v>42</v>
      </c>
      <c r="C24" s="27">
        <f>VLOOKUP($C$9,'Прайс свет'!$C:$AB,'КП Свет'!A24,FALSE)</f>
        <v>80</v>
      </c>
    </row>
    <row r="25" spans="1:3" x14ac:dyDescent="0.25">
      <c r="A25" s="25">
        <v>17</v>
      </c>
      <c r="B25" s="26" t="s">
        <v>41</v>
      </c>
      <c r="C25" s="27" t="str">
        <f>VLOOKUP($C$9,'Прайс свет'!$C:$AB,'КП Свет'!A25,FALSE)</f>
        <v>Edison 84шт</v>
      </c>
    </row>
    <row r="26" spans="1:3" x14ac:dyDescent="0.25">
      <c r="A26" s="25">
        <v>18</v>
      </c>
      <c r="B26" s="26" t="s">
        <v>40</v>
      </c>
      <c r="C26" s="27" t="str">
        <f>VLOOKUP($C$9,'Прайс свет'!$C:$AB,'КП Свет'!A26,FALSE)</f>
        <v>100mA</v>
      </c>
    </row>
    <row r="27" spans="1:3" x14ac:dyDescent="0.25">
      <c r="A27" s="25">
        <v>19</v>
      </c>
      <c r="B27" s="26" t="s">
        <v>39</v>
      </c>
      <c r="C27" s="27" t="str">
        <f>VLOOKUP($C$9,'Прайс свет'!$C:$AB,'КП Свет'!A27,FALSE)</f>
        <v>УХЛ4</v>
      </c>
    </row>
    <row r="28" spans="1:3" s="33" customFormat="1" x14ac:dyDescent="0.25">
      <c r="A28" s="32">
        <v>20</v>
      </c>
      <c r="B28" s="26" t="s">
        <v>38</v>
      </c>
      <c r="C28" s="27" t="str">
        <f>VLOOKUP($C$9,'Прайс свет'!$C:$AB,'КП Свет'!A28,FALSE)</f>
        <v>Формованная листовая сталь с порошковой окраской</v>
      </c>
    </row>
    <row r="29" spans="1:3" x14ac:dyDescent="0.25">
      <c r="A29" s="25">
        <v>21</v>
      </c>
      <c r="B29" s="26" t="s">
        <v>37</v>
      </c>
      <c r="C29" s="27" t="str">
        <f>VLOOKUP($C$9,'Прайс свет'!$C:$AB,'КП Свет'!A29,FALSE)</f>
        <v>Накладное/встраиваемое</v>
      </c>
    </row>
    <row r="30" spans="1:3" x14ac:dyDescent="0.25">
      <c r="A30" s="25">
        <v>22</v>
      </c>
      <c r="B30" s="26" t="s">
        <v>36</v>
      </c>
      <c r="C30" s="27" t="str">
        <f>VLOOKUP($C$9,'Прайс свет'!$C:$AB,'КП Свет'!A30,FALSE)</f>
        <v>1200х180х40</v>
      </c>
    </row>
    <row r="31" spans="1:3" x14ac:dyDescent="0.25">
      <c r="A31" s="25">
        <v>23</v>
      </c>
      <c r="B31" s="26" t="s">
        <v>35</v>
      </c>
      <c r="C31" s="27">
        <f>VLOOKUP($C$9,'Прайс свет'!$C:$AB,'КП Свет'!A31,FALSE)</f>
        <v>1.4760000000000001E-2</v>
      </c>
    </row>
    <row r="32" spans="1:3" x14ac:dyDescent="0.25">
      <c r="A32" s="25">
        <v>24</v>
      </c>
      <c r="B32" s="26" t="s">
        <v>34</v>
      </c>
      <c r="C32" s="27">
        <f>VLOOKUP($C$9,'Прайс свет'!$C:$AB,'КП Свет'!A32,FALSE)</f>
        <v>2.2999999999999998</v>
      </c>
    </row>
    <row r="33" spans="1:3" x14ac:dyDescent="0.25">
      <c r="A33" s="25">
        <v>25</v>
      </c>
      <c r="B33" s="26" t="s">
        <v>33</v>
      </c>
      <c r="C33" s="27" t="str">
        <f>VLOOKUP($C$9,'Прайс свет'!$C:$AB,'КП Свет'!A33,FALSE)</f>
        <v>-20°/+40° С</v>
      </c>
    </row>
    <row r="34" spans="1:3" x14ac:dyDescent="0.25">
      <c r="A34" s="25">
        <v>26</v>
      </c>
      <c r="B34" s="26" t="s">
        <v>32</v>
      </c>
      <c r="C34" s="27" t="str">
        <f>VLOOKUP($C$9,'Прайс свет'!$C:$AB,'КП Свет'!A34,FALSE)</f>
        <v>100 000 ч</v>
      </c>
    </row>
  </sheetData>
  <mergeCells count="1">
    <mergeCell ref="B8:C8"/>
  </mergeCells>
  <conditionalFormatting sqref="C9">
    <cfRule type="expression" dxfId="37" priority="1">
      <formula>MOD(ROW(),2)=0</formula>
    </cfRule>
  </conditionalFormatting>
  <hyperlinks>
    <hyperlink ref="B3" r:id="rId1"/>
    <hyperlink ref="B2" r:id="rId2"/>
  </hyperlinks>
  <pageMargins left="0.7" right="0.7" top="0.75" bottom="0.75" header="0.3" footer="0.3"/>
  <pageSetup paperSize="9" scale="87" orientation="portrait" horizontalDpi="0" verticalDpi="0" r:id="rId3"/>
  <colBreaks count="1" manualBreakCount="1">
    <brk id="1" max="1048575" man="1"/>
  </colBreak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8" tint="0.79998168889431442"/>
  </sheetPr>
  <dimension ref="A1:C31"/>
  <sheetViews>
    <sheetView workbookViewId="0">
      <selection activeCell="C8" sqref="C8"/>
    </sheetView>
  </sheetViews>
  <sheetFormatPr defaultRowHeight="15" x14ac:dyDescent="0.25"/>
  <cols>
    <col min="1" max="1" width="3.5703125" customWidth="1"/>
    <col min="2" max="2" width="38.5703125" style="8" customWidth="1"/>
    <col min="3" max="3" width="32.5703125" style="8" customWidth="1"/>
  </cols>
  <sheetData>
    <row r="1" spans="1:3" x14ac:dyDescent="0.25">
      <c r="B1" s="28" t="s">
        <v>2433</v>
      </c>
      <c r="C1"/>
    </row>
    <row r="2" spans="1:3" x14ac:dyDescent="0.25">
      <c r="B2" s="29" t="s">
        <v>2434</v>
      </c>
      <c r="C2"/>
    </row>
    <row r="3" spans="1:3" x14ac:dyDescent="0.25">
      <c r="B3" s="29" t="s">
        <v>2435</v>
      </c>
      <c r="C3"/>
    </row>
    <row r="4" spans="1:3" x14ac:dyDescent="0.25">
      <c r="B4" s="28" t="s">
        <v>2436</v>
      </c>
      <c r="C4" s="28"/>
    </row>
    <row r="5" spans="1:3" x14ac:dyDescent="0.25">
      <c r="B5" s="28" t="s">
        <v>2437</v>
      </c>
      <c r="C5"/>
    </row>
    <row r="6" spans="1:3" x14ac:dyDescent="0.25">
      <c r="B6" s="28"/>
      <c r="C6"/>
    </row>
    <row r="7" spans="1:3" ht="18.75" x14ac:dyDescent="0.3">
      <c r="B7" s="269" t="s">
        <v>2438</v>
      </c>
      <c r="C7" s="269"/>
    </row>
    <row r="8" spans="1:3" x14ac:dyDescent="0.25">
      <c r="B8" s="26" t="s">
        <v>57</v>
      </c>
      <c r="C8" s="27" t="s">
        <v>2003</v>
      </c>
    </row>
    <row r="9" spans="1:3" x14ac:dyDescent="0.25">
      <c r="A9" s="25">
        <v>2</v>
      </c>
      <c r="B9" s="26" t="s">
        <v>56</v>
      </c>
      <c r="C9" s="30">
        <f>VLOOKUP($C$8,'Прайс УФ'!C:Z,'КП УФ'!A9,FALSE)</f>
        <v>0</v>
      </c>
    </row>
    <row r="10" spans="1:3" ht="30" x14ac:dyDescent="0.25">
      <c r="A10" s="25">
        <v>3</v>
      </c>
      <c r="B10" s="26" t="s">
        <v>2423</v>
      </c>
      <c r="C10" s="30">
        <f>VLOOKUP($C$8,'Прайс УФ'!C:Z,'КП УФ'!A10,FALSE)</f>
        <v>1.8</v>
      </c>
    </row>
    <row r="11" spans="1:3" x14ac:dyDescent="0.25">
      <c r="A11" s="25">
        <v>4</v>
      </c>
      <c r="B11" s="26" t="s">
        <v>55</v>
      </c>
      <c r="C11" s="30">
        <f>VLOOKUP($C$8,'Прайс УФ'!C:Z,'КП УФ'!A11,FALSE)</f>
        <v>12</v>
      </c>
    </row>
    <row r="12" spans="1:3" x14ac:dyDescent="0.25">
      <c r="A12" s="25">
        <v>5</v>
      </c>
      <c r="B12" s="26" t="s">
        <v>2404</v>
      </c>
      <c r="C12" s="30" t="str">
        <f>VLOOKUP($C$8,'Прайс УФ'!C:Z,'КП УФ'!A12,FALSE)</f>
        <v>18-20</v>
      </c>
    </row>
    <row r="13" spans="1:3" x14ac:dyDescent="0.25">
      <c r="A13" s="25">
        <v>6</v>
      </c>
      <c r="B13" s="26" t="s">
        <v>2432</v>
      </c>
      <c r="C13" s="30">
        <f>VLOOKUP($C$8,'Прайс УФ'!C:Z,'КП УФ'!A13,FALSE)</f>
        <v>25</v>
      </c>
    </row>
    <row r="14" spans="1:3" x14ac:dyDescent="0.25">
      <c r="A14" s="25">
        <v>7</v>
      </c>
      <c r="B14" s="26" t="s">
        <v>2405</v>
      </c>
      <c r="C14" s="30">
        <f>VLOOKUP($C$8,'Прайс УФ'!C:Z,'КП УФ'!A14,FALSE)</f>
        <v>0</v>
      </c>
    </row>
    <row r="15" spans="1:3" x14ac:dyDescent="0.25">
      <c r="A15" s="25">
        <v>8</v>
      </c>
      <c r="B15" s="26" t="s">
        <v>2406</v>
      </c>
      <c r="C15" s="30" t="str">
        <f>VLOOKUP($C$8,'Прайс УФ'!C:Z,'КП УФ'!A15,FALSE)</f>
        <v>UVC 254nm</v>
      </c>
    </row>
    <row r="16" spans="1:3" ht="30" x14ac:dyDescent="0.25">
      <c r="A16" s="25">
        <v>9</v>
      </c>
      <c r="B16" s="26" t="s">
        <v>2407</v>
      </c>
      <c r="C16" s="26" t="str">
        <f>VLOOKUP($C$8,'Прайс УФ'!C:Z,'КП УФ'!A16,FALSE)</f>
        <v>Лампа бактерицидная безозоновая T16, цоколь G5 - 2шт</v>
      </c>
    </row>
    <row r="17" spans="1:3" x14ac:dyDescent="0.25">
      <c r="A17" s="25">
        <v>10</v>
      </c>
      <c r="B17" s="26" t="s">
        <v>2408</v>
      </c>
      <c r="C17" s="30" t="str">
        <f>VLOOKUP($C$8,'Прайс УФ'!C:Z,'КП УФ'!A17,FALSE)</f>
        <v>6 000 ч</v>
      </c>
    </row>
    <row r="18" spans="1:3" x14ac:dyDescent="0.25">
      <c r="A18" s="25">
        <v>11</v>
      </c>
      <c r="B18" s="26" t="s">
        <v>2409</v>
      </c>
      <c r="C18" s="30" t="str">
        <f>VLOOKUP($C$8,'Прайс УФ'!C:Z,'КП УФ'!A18,FALSE)</f>
        <v>IV-V</v>
      </c>
    </row>
    <row r="19" spans="1:3" x14ac:dyDescent="0.25">
      <c r="A19" s="25">
        <v>12</v>
      </c>
      <c r="B19" s="26" t="s">
        <v>53</v>
      </c>
      <c r="C19" s="30" t="str">
        <f>VLOOKUP($C$8,'Прайс УФ'!C:Z,'КП УФ'!A19,FALSE)</f>
        <v>SB-00014720</v>
      </c>
    </row>
    <row r="20" spans="1:3" x14ac:dyDescent="0.25">
      <c r="A20" s="25">
        <v>13</v>
      </c>
      <c r="B20" s="26" t="s">
        <v>51</v>
      </c>
      <c r="C20" s="30">
        <f>VLOOKUP($C$8,'Прайс УФ'!C:Z,'КП УФ'!A20,FALSE)</f>
        <v>20</v>
      </c>
    </row>
    <row r="21" spans="1:3" x14ac:dyDescent="0.25">
      <c r="A21" s="25">
        <v>14</v>
      </c>
      <c r="B21" s="26" t="s">
        <v>50</v>
      </c>
      <c r="C21" s="30" t="str">
        <f>VLOOKUP($C$8,'Прайс УФ'!C:Z,'КП УФ'!A21,FALSE)</f>
        <v>3 года</v>
      </c>
    </row>
    <row r="22" spans="1:3" x14ac:dyDescent="0.25">
      <c r="A22" s="25">
        <v>15</v>
      </c>
      <c r="B22" s="26" t="s">
        <v>49</v>
      </c>
      <c r="C22" s="30" t="str">
        <f>VLOOKUP($C$8,'Прайс УФ'!C:Z,'КП УФ'!A22,FALSE)</f>
        <v>176-264В АС, 50Гц</v>
      </c>
    </row>
    <row r="23" spans="1:3" x14ac:dyDescent="0.25">
      <c r="A23" s="25">
        <v>16</v>
      </c>
      <c r="B23" s="26" t="s">
        <v>48</v>
      </c>
      <c r="C23" s="30" t="str">
        <f>VLOOKUP($C$8,'Прайс УФ'!C:Z,'КП УФ'!A23,FALSE)</f>
        <v>&gt;0,95</v>
      </c>
    </row>
    <row r="24" spans="1:3" x14ac:dyDescent="0.25">
      <c r="A24" s="25">
        <v>17</v>
      </c>
      <c r="B24" s="26" t="s">
        <v>46</v>
      </c>
      <c r="C24" s="30" t="str">
        <f>VLOOKUP($C$8,'Прайс УФ'!C:Z,'КП УФ'!A24,FALSE)</f>
        <v>II</v>
      </c>
    </row>
    <row r="25" spans="1:3" x14ac:dyDescent="0.25">
      <c r="A25" s="25">
        <v>18</v>
      </c>
      <c r="B25" s="26" t="s">
        <v>2425</v>
      </c>
      <c r="C25" s="30" t="str">
        <f>VLOOKUP($C$8,'Прайс УФ'!C:Z,'КП УФ'!A25,FALSE)</f>
        <v>Черный</v>
      </c>
    </row>
    <row r="26" spans="1:3" x14ac:dyDescent="0.25">
      <c r="A26" s="25">
        <v>19</v>
      </c>
      <c r="B26" s="26" t="s">
        <v>38</v>
      </c>
      <c r="C26" s="30" t="str">
        <f>VLOOKUP($C$8,'Прайс УФ'!C:Z,'КП УФ'!A26,FALSE)</f>
        <v>Алюминиевый профиль</v>
      </c>
    </row>
    <row r="27" spans="1:3" x14ac:dyDescent="0.25">
      <c r="A27" s="25">
        <v>20</v>
      </c>
      <c r="B27" s="26" t="s">
        <v>37</v>
      </c>
      <c r="C27" s="30" t="str">
        <f>VLOOKUP($C$8,'Прайс УФ'!C:Z,'КП УФ'!A27,FALSE)</f>
        <v>настольное</v>
      </c>
    </row>
    <row r="28" spans="1:3" x14ac:dyDescent="0.25">
      <c r="A28" s="25">
        <v>21</v>
      </c>
      <c r="B28" s="26" t="s">
        <v>36</v>
      </c>
      <c r="C28" s="30" t="str">
        <f>VLOOKUP($C$8,'Прайс УФ'!C:Z,'КП УФ'!A28,FALSE)</f>
        <v>250x100x100</v>
      </c>
    </row>
    <row r="29" spans="1:3" x14ac:dyDescent="0.25">
      <c r="A29" s="25">
        <v>22</v>
      </c>
      <c r="B29" s="26" t="s">
        <v>35</v>
      </c>
      <c r="C29" s="30">
        <f>VLOOKUP($C$8,'Прайс УФ'!C:Z,'КП УФ'!A29,FALSE)</f>
        <v>2.7500000000000003E-3</v>
      </c>
    </row>
    <row r="30" spans="1:3" x14ac:dyDescent="0.25">
      <c r="A30" s="25">
        <v>23</v>
      </c>
      <c r="B30" s="26" t="s">
        <v>34</v>
      </c>
      <c r="C30" s="30">
        <f>VLOOKUP($C$8,'Прайс УФ'!C:Z,'КП УФ'!A30,FALSE)</f>
        <v>1.9800000000000002</v>
      </c>
    </row>
    <row r="31" spans="1:3" x14ac:dyDescent="0.25">
      <c r="A31" s="25">
        <v>24</v>
      </c>
      <c r="B31" s="26" t="s">
        <v>33</v>
      </c>
      <c r="C31" s="30" t="str">
        <f>VLOOKUP($C$8,'Прайс УФ'!C:Z,'КП УФ'!A31,FALSE)</f>
        <v xml:space="preserve"> +1°/+35° С</v>
      </c>
    </row>
  </sheetData>
  <mergeCells count="1">
    <mergeCell ref="B7:C7"/>
  </mergeCells>
  <hyperlinks>
    <hyperlink ref="B3" r:id="rId1"/>
    <hyperlink ref="B2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5" tint="0.79998168889431442"/>
  </sheetPr>
  <dimension ref="A1:C110"/>
  <sheetViews>
    <sheetView workbookViewId="0">
      <selection activeCell="C4" sqref="C4"/>
    </sheetView>
  </sheetViews>
  <sheetFormatPr defaultRowHeight="15" x14ac:dyDescent="0.25"/>
  <cols>
    <col min="1" max="1" width="23.140625" bestFit="1" customWidth="1"/>
    <col min="2" max="2" width="16" customWidth="1"/>
    <col min="3" max="3" width="106.7109375" customWidth="1"/>
  </cols>
  <sheetData>
    <row r="1" spans="1:3" ht="18.75" x14ac:dyDescent="0.25">
      <c r="A1" s="34" t="s">
        <v>2439</v>
      </c>
      <c r="B1" s="34" t="s">
        <v>2440</v>
      </c>
      <c r="C1" s="149" t="s">
        <v>2441</v>
      </c>
    </row>
    <row r="2" spans="1:3" ht="18.75" x14ac:dyDescent="0.25">
      <c r="A2" s="275" t="s">
        <v>4637</v>
      </c>
      <c r="B2" s="271">
        <v>44960</v>
      </c>
      <c r="C2" s="252" t="s">
        <v>4633</v>
      </c>
    </row>
    <row r="3" spans="1:3" ht="18.75" x14ac:dyDescent="0.3">
      <c r="A3" s="276"/>
      <c r="B3" s="276"/>
      <c r="C3" s="262" t="s">
        <v>4634</v>
      </c>
    </row>
    <row r="4" spans="1:3" ht="18.75" x14ac:dyDescent="0.3">
      <c r="A4" s="276"/>
      <c r="B4" s="276"/>
      <c r="C4" s="262" t="s">
        <v>4641</v>
      </c>
    </row>
    <row r="5" spans="1:3" ht="18.75" x14ac:dyDescent="0.25">
      <c r="A5" s="276"/>
      <c r="B5" s="276"/>
      <c r="C5" s="252" t="s">
        <v>4635</v>
      </c>
    </row>
    <row r="6" spans="1:3" ht="18.75" x14ac:dyDescent="0.3">
      <c r="A6" s="276"/>
      <c r="B6" s="276"/>
      <c r="C6" s="262" t="s">
        <v>4636</v>
      </c>
    </row>
    <row r="7" spans="1:3" ht="47.25" customHeight="1" x14ac:dyDescent="0.25">
      <c r="A7" s="34" t="s">
        <v>4490</v>
      </c>
      <c r="B7" s="251">
        <v>44922</v>
      </c>
      <c r="C7" s="252" t="s">
        <v>4491</v>
      </c>
    </row>
    <row r="8" spans="1:3" ht="53.25" customHeight="1" x14ac:dyDescent="0.25">
      <c r="A8" s="34" t="s">
        <v>4464</v>
      </c>
      <c r="B8" s="242">
        <v>44893</v>
      </c>
      <c r="C8" s="149" t="s">
        <v>4465</v>
      </c>
    </row>
    <row r="9" spans="1:3" ht="134.25" customHeight="1" x14ac:dyDescent="0.25">
      <c r="A9" s="34" t="s">
        <v>4146</v>
      </c>
      <c r="B9" s="241">
        <v>44858</v>
      </c>
      <c r="C9" s="149" t="s">
        <v>4466</v>
      </c>
    </row>
    <row r="10" spans="1:3" ht="87.75" customHeight="1" x14ac:dyDescent="0.25">
      <c r="A10" s="148" t="s">
        <v>4146</v>
      </c>
      <c r="B10" s="235">
        <v>44854</v>
      </c>
      <c r="C10" s="149" t="s">
        <v>4327</v>
      </c>
    </row>
    <row r="11" spans="1:3" ht="99.75" customHeight="1" x14ac:dyDescent="0.25">
      <c r="A11" s="148" t="s">
        <v>4146</v>
      </c>
      <c r="B11" s="216">
        <v>44840</v>
      </c>
      <c r="C11" s="149" t="s">
        <v>4238</v>
      </c>
    </row>
    <row r="12" spans="1:3" ht="78" customHeight="1" x14ac:dyDescent="0.25">
      <c r="A12" s="34" t="s">
        <v>3912</v>
      </c>
      <c r="B12" s="155">
        <v>44830</v>
      </c>
      <c r="C12" s="149" t="s">
        <v>3981</v>
      </c>
    </row>
    <row r="13" spans="1:3" ht="75" x14ac:dyDescent="0.25">
      <c r="A13" s="148" t="s">
        <v>3912</v>
      </c>
      <c r="B13" s="143">
        <v>44816</v>
      </c>
      <c r="C13" s="149" t="s">
        <v>3923</v>
      </c>
    </row>
    <row r="14" spans="1:3" ht="93.75" x14ac:dyDescent="0.25">
      <c r="A14" s="141" t="s">
        <v>3902</v>
      </c>
      <c r="B14" s="140">
        <v>44781</v>
      </c>
      <c r="C14" s="142" t="s">
        <v>3901</v>
      </c>
    </row>
    <row r="15" spans="1:3" ht="361.5" customHeight="1" x14ac:dyDescent="0.25">
      <c r="A15" s="270" t="s">
        <v>3889</v>
      </c>
      <c r="B15" s="271">
        <v>44761</v>
      </c>
      <c r="C15" s="272" t="s">
        <v>3890</v>
      </c>
    </row>
    <row r="16" spans="1:3" ht="409.5" customHeight="1" x14ac:dyDescent="0.25">
      <c r="A16" s="270"/>
      <c r="B16" s="271"/>
      <c r="C16" s="272"/>
    </row>
    <row r="17" spans="1:3" ht="93.75" x14ac:dyDescent="0.25">
      <c r="A17" s="137" t="s">
        <v>3875</v>
      </c>
      <c r="B17" s="138">
        <v>44746</v>
      </c>
      <c r="C17" s="139" t="s">
        <v>3877</v>
      </c>
    </row>
    <row r="18" spans="1:3" ht="409.5" x14ac:dyDescent="0.25">
      <c r="A18" s="134" t="s">
        <v>3858</v>
      </c>
      <c r="B18" s="135">
        <v>44713</v>
      </c>
      <c r="C18" s="136" t="s">
        <v>3872</v>
      </c>
    </row>
    <row r="19" spans="1:3" ht="93.75" x14ac:dyDescent="0.25">
      <c r="A19" s="131" t="s">
        <v>3853</v>
      </c>
      <c r="B19" s="132">
        <v>44706</v>
      </c>
      <c r="C19" s="133" t="s">
        <v>3854</v>
      </c>
    </row>
    <row r="20" spans="1:3" ht="337.5" x14ac:dyDescent="0.25">
      <c r="A20" s="128" t="s">
        <v>3834</v>
      </c>
      <c r="B20" s="129">
        <v>44693</v>
      </c>
      <c r="C20" s="130" t="s">
        <v>3838</v>
      </c>
    </row>
    <row r="21" spans="1:3" ht="249" customHeight="1" x14ac:dyDescent="0.25">
      <c r="A21" s="125" t="s">
        <v>3680</v>
      </c>
      <c r="B21" s="126">
        <v>44678</v>
      </c>
      <c r="C21" s="127" t="s">
        <v>3645</v>
      </c>
    </row>
    <row r="22" spans="1:3" ht="18.75" x14ac:dyDescent="0.25">
      <c r="A22" s="123" t="s">
        <v>3478</v>
      </c>
      <c r="B22" s="124">
        <v>44652</v>
      </c>
      <c r="C22" s="112" t="s">
        <v>3479</v>
      </c>
    </row>
    <row r="23" spans="1:3" ht="37.5" x14ac:dyDescent="0.25">
      <c r="A23" s="121" t="s">
        <v>3476</v>
      </c>
      <c r="B23" s="122">
        <v>44638</v>
      </c>
      <c r="C23" s="112" t="s">
        <v>3477</v>
      </c>
    </row>
    <row r="24" spans="1:3" ht="18.75" x14ac:dyDescent="0.25">
      <c r="A24" s="119" t="s">
        <v>3475</v>
      </c>
      <c r="B24" s="120">
        <v>44629</v>
      </c>
      <c r="C24" s="112" t="s">
        <v>2861</v>
      </c>
    </row>
    <row r="25" spans="1:3" ht="18.75" x14ac:dyDescent="0.25">
      <c r="A25" s="117" t="s">
        <v>3473</v>
      </c>
      <c r="B25" s="118">
        <v>44622</v>
      </c>
      <c r="C25" s="112" t="s">
        <v>3474</v>
      </c>
    </row>
    <row r="26" spans="1:3" ht="18.75" x14ac:dyDescent="0.25">
      <c r="A26" s="115" t="s">
        <v>3471</v>
      </c>
      <c r="B26" s="116">
        <v>44620</v>
      </c>
      <c r="C26" s="112" t="s">
        <v>3472</v>
      </c>
    </row>
    <row r="27" spans="1:3" ht="409.5" customHeight="1" x14ac:dyDescent="0.25">
      <c r="A27" s="270" t="s">
        <v>3381</v>
      </c>
      <c r="B27" s="271">
        <v>44586</v>
      </c>
      <c r="C27" s="272" t="s">
        <v>3470</v>
      </c>
    </row>
    <row r="28" spans="1:3" ht="409.5" customHeight="1" x14ac:dyDescent="0.25">
      <c r="A28" s="270"/>
      <c r="B28" s="271"/>
      <c r="C28" s="272"/>
    </row>
    <row r="29" spans="1:3" ht="93.75" x14ac:dyDescent="0.25">
      <c r="A29" s="111" t="s">
        <v>3366</v>
      </c>
      <c r="B29" s="110">
        <v>44571</v>
      </c>
      <c r="C29" s="112" t="s">
        <v>3367</v>
      </c>
    </row>
    <row r="30" spans="1:3" ht="409.5" customHeight="1" x14ac:dyDescent="0.25">
      <c r="A30" s="270" t="s">
        <v>3357</v>
      </c>
      <c r="B30" s="271">
        <v>44538</v>
      </c>
      <c r="C30" s="274" t="s">
        <v>3359</v>
      </c>
    </row>
    <row r="31" spans="1:3" ht="168" customHeight="1" x14ac:dyDescent="0.25">
      <c r="A31" s="270"/>
      <c r="B31" s="271"/>
      <c r="C31" s="274"/>
    </row>
    <row r="32" spans="1:3" ht="93.75" x14ac:dyDescent="0.25">
      <c r="A32" s="107" t="s">
        <v>3231</v>
      </c>
      <c r="B32" s="106">
        <v>44510</v>
      </c>
      <c r="C32" s="38" t="s">
        <v>3232</v>
      </c>
    </row>
    <row r="33" spans="1:3" ht="112.5" x14ac:dyDescent="0.25">
      <c r="A33" s="105" t="s">
        <v>3217</v>
      </c>
      <c r="B33" s="104">
        <v>44496</v>
      </c>
      <c r="C33" s="38" t="s">
        <v>3218</v>
      </c>
    </row>
    <row r="34" spans="1:3" ht="409.5" customHeight="1" x14ac:dyDescent="0.25">
      <c r="A34" s="270" t="s">
        <v>3128</v>
      </c>
      <c r="B34" s="271">
        <v>44470</v>
      </c>
      <c r="C34" s="273" t="s">
        <v>3189</v>
      </c>
    </row>
    <row r="35" spans="1:3" ht="255.75" customHeight="1" x14ac:dyDescent="0.25">
      <c r="A35" s="270"/>
      <c r="B35" s="271"/>
      <c r="C35" s="273"/>
    </row>
    <row r="36" spans="1:3" ht="93.75" x14ac:dyDescent="0.25">
      <c r="A36" s="36" t="s">
        <v>3116</v>
      </c>
      <c r="B36" s="37">
        <v>44452</v>
      </c>
      <c r="C36" s="38" t="s">
        <v>3117</v>
      </c>
    </row>
    <row r="37" spans="1:3" ht="93.75" x14ac:dyDescent="0.25">
      <c r="A37" s="36" t="s">
        <v>3091</v>
      </c>
      <c r="B37" s="37">
        <v>44440</v>
      </c>
      <c r="C37" s="38" t="s">
        <v>3092</v>
      </c>
    </row>
    <row r="38" spans="1:3" ht="409.5" x14ac:dyDescent="0.25">
      <c r="A38" s="36" t="s">
        <v>3061</v>
      </c>
      <c r="B38" s="37">
        <v>44409</v>
      </c>
      <c r="C38" s="38" t="s">
        <v>3074</v>
      </c>
    </row>
    <row r="39" spans="1:3" ht="75" x14ac:dyDescent="0.25">
      <c r="A39" s="36" t="s">
        <v>2978</v>
      </c>
      <c r="B39" s="37">
        <v>44378</v>
      </c>
      <c r="C39" s="38" t="s">
        <v>3046</v>
      </c>
    </row>
    <row r="40" spans="1:3" ht="18.75" x14ac:dyDescent="0.25">
      <c r="A40" s="36" t="s">
        <v>2950</v>
      </c>
      <c r="B40" s="37">
        <v>44363</v>
      </c>
      <c r="C40" s="38" t="s">
        <v>2951</v>
      </c>
    </row>
    <row r="41" spans="1:3" ht="56.25" x14ac:dyDescent="0.25">
      <c r="A41" s="36" t="s">
        <v>2930</v>
      </c>
      <c r="B41" s="37">
        <v>44349</v>
      </c>
      <c r="C41" s="38" t="s">
        <v>2931</v>
      </c>
    </row>
    <row r="42" spans="1:3" ht="18.75" x14ac:dyDescent="0.25">
      <c r="A42" s="36" t="s">
        <v>2860</v>
      </c>
      <c r="B42" s="37">
        <v>44320</v>
      </c>
      <c r="C42" s="38" t="s">
        <v>2861</v>
      </c>
    </row>
    <row r="43" spans="1:3" ht="409.5" x14ac:dyDescent="0.25">
      <c r="A43" s="36" t="s">
        <v>2857</v>
      </c>
      <c r="B43" s="37">
        <v>44305</v>
      </c>
      <c r="C43" s="38" t="s">
        <v>2858</v>
      </c>
    </row>
    <row r="44" spans="1:3" ht="56.25" x14ac:dyDescent="0.25">
      <c r="A44" s="36" t="s">
        <v>2797</v>
      </c>
      <c r="B44" s="37">
        <v>44285</v>
      </c>
      <c r="C44" s="38" t="s">
        <v>2827</v>
      </c>
    </row>
    <row r="45" spans="1:3" ht="93.75" x14ac:dyDescent="0.25">
      <c r="A45" s="36" t="s">
        <v>2793</v>
      </c>
      <c r="B45" s="37">
        <v>44265</v>
      </c>
      <c r="C45" s="38" t="s">
        <v>2794</v>
      </c>
    </row>
    <row r="46" spans="1:3" ht="187.5" x14ac:dyDescent="0.25">
      <c r="A46" s="36" t="s">
        <v>2780</v>
      </c>
      <c r="B46" s="37">
        <v>44256</v>
      </c>
      <c r="C46" s="38" t="s">
        <v>2781</v>
      </c>
    </row>
    <row r="47" spans="1:3" ht="206.25" x14ac:dyDescent="0.25">
      <c r="A47" s="36" t="s">
        <v>2702</v>
      </c>
      <c r="B47" s="37">
        <v>44229</v>
      </c>
      <c r="C47" s="38" t="s">
        <v>2763</v>
      </c>
    </row>
    <row r="48" spans="1:3" ht="18.75" x14ac:dyDescent="0.25">
      <c r="A48" s="36" t="s">
        <v>2442</v>
      </c>
      <c r="B48" s="37">
        <v>44209</v>
      </c>
      <c r="C48" s="35" t="s">
        <v>2588</v>
      </c>
    </row>
    <row r="49" spans="1:3" ht="37.5" x14ac:dyDescent="0.25">
      <c r="A49" s="36" t="s">
        <v>2443</v>
      </c>
      <c r="B49" s="37">
        <v>44189</v>
      </c>
      <c r="C49" s="38" t="s">
        <v>2444</v>
      </c>
    </row>
    <row r="50" spans="1:3" ht="18.75" x14ac:dyDescent="0.25">
      <c r="A50" s="36" t="s">
        <v>2445</v>
      </c>
      <c r="B50" s="37">
        <v>44165</v>
      </c>
      <c r="C50" s="38" t="s">
        <v>2590</v>
      </c>
    </row>
    <row r="51" spans="1:3" ht="18.75" x14ac:dyDescent="0.25">
      <c r="A51" s="36" t="s">
        <v>2446</v>
      </c>
      <c r="B51" s="37">
        <v>44158</v>
      </c>
      <c r="C51" s="35" t="s">
        <v>2447</v>
      </c>
    </row>
    <row r="52" spans="1:3" ht="225" x14ac:dyDescent="0.25">
      <c r="A52" s="36" t="s">
        <v>2448</v>
      </c>
      <c r="B52" s="37">
        <v>44136</v>
      </c>
      <c r="C52" s="38" t="s">
        <v>2449</v>
      </c>
    </row>
    <row r="53" spans="1:3" ht="131.25" x14ac:dyDescent="0.25">
      <c r="A53" s="36" t="s">
        <v>2450</v>
      </c>
      <c r="B53" s="37">
        <v>44105</v>
      </c>
      <c r="C53" s="39" t="s">
        <v>2451</v>
      </c>
    </row>
    <row r="54" spans="1:3" ht="18.75" x14ac:dyDescent="0.25">
      <c r="A54" s="36" t="s">
        <v>2452</v>
      </c>
      <c r="B54" s="37">
        <v>44082</v>
      </c>
      <c r="C54" s="35" t="s">
        <v>2453</v>
      </c>
    </row>
    <row r="55" spans="1:3" ht="18.75" x14ac:dyDescent="0.25">
      <c r="A55" s="36" t="s">
        <v>2454</v>
      </c>
      <c r="B55" s="37">
        <v>44075</v>
      </c>
      <c r="C55" s="35" t="s">
        <v>2455</v>
      </c>
    </row>
    <row r="56" spans="1:3" ht="18.75" x14ac:dyDescent="0.25">
      <c r="A56" s="36" t="s">
        <v>2456</v>
      </c>
      <c r="B56" s="37">
        <v>44054</v>
      </c>
      <c r="C56" s="40" t="s">
        <v>2457</v>
      </c>
    </row>
    <row r="57" spans="1:3" ht="168.75" x14ac:dyDescent="0.25">
      <c r="A57" s="36" t="s">
        <v>2458</v>
      </c>
      <c r="B57" s="37">
        <v>44044</v>
      </c>
      <c r="C57" s="38" t="s">
        <v>2459</v>
      </c>
    </row>
    <row r="58" spans="1:3" ht="93.75" x14ac:dyDescent="0.25">
      <c r="A58" s="36" t="s">
        <v>2460</v>
      </c>
      <c r="B58" s="37">
        <v>44013</v>
      </c>
      <c r="C58" s="38" t="s">
        <v>2461</v>
      </c>
    </row>
    <row r="59" spans="1:3" ht="206.25" x14ac:dyDescent="0.25">
      <c r="A59" s="36" t="s">
        <v>2462</v>
      </c>
      <c r="B59" s="37">
        <v>43983</v>
      </c>
      <c r="C59" s="38" t="s">
        <v>2463</v>
      </c>
    </row>
    <row r="60" spans="1:3" ht="37.5" x14ac:dyDescent="0.25">
      <c r="A60" s="36" t="s">
        <v>2464</v>
      </c>
      <c r="B60" s="37">
        <v>43958</v>
      </c>
      <c r="C60" s="38" t="s">
        <v>2465</v>
      </c>
    </row>
    <row r="61" spans="1:3" ht="56.25" x14ac:dyDescent="0.25">
      <c r="A61" s="34" t="s">
        <v>2466</v>
      </c>
      <c r="B61" s="37">
        <v>43936</v>
      </c>
      <c r="C61" s="38" t="s">
        <v>2467</v>
      </c>
    </row>
    <row r="62" spans="1:3" ht="93.75" x14ac:dyDescent="0.25">
      <c r="A62" s="34" t="s">
        <v>2468</v>
      </c>
      <c r="B62" s="37">
        <v>43922</v>
      </c>
      <c r="C62" s="38" t="s">
        <v>2469</v>
      </c>
    </row>
    <row r="63" spans="1:3" ht="18.75" x14ac:dyDescent="0.25">
      <c r="A63" s="34" t="s">
        <v>2470</v>
      </c>
      <c r="B63" s="37">
        <v>43906</v>
      </c>
      <c r="C63" s="35" t="s">
        <v>2471</v>
      </c>
    </row>
    <row r="64" spans="1:3" ht="18.75" x14ac:dyDescent="0.25">
      <c r="A64" s="34" t="s">
        <v>2472</v>
      </c>
      <c r="B64" s="37">
        <v>43901</v>
      </c>
      <c r="C64" s="35" t="s">
        <v>2473</v>
      </c>
    </row>
    <row r="65" spans="1:3" ht="206.25" x14ac:dyDescent="0.25">
      <c r="A65" s="34" t="s">
        <v>2474</v>
      </c>
      <c r="B65" s="37">
        <v>43896</v>
      </c>
      <c r="C65" s="38" t="s">
        <v>2475</v>
      </c>
    </row>
    <row r="66" spans="1:3" ht="131.25" x14ac:dyDescent="0.25">
      <c r="A66" s="34" t="s">
        <v>2476</v>
      </c>
      <c r="B66" s="37">
        <v>43817</v>
      </c>
      <c r="C66" s="38" t="s">
        <v>2477</v>
      </c>
    </row>
    <row r="67" spans="1:3" ht="112.5" x14ac:dyDescent="0.25">
      <c r="A67" s="34" t="s">
        <v>2478</v>
      </c>
      <c r="B67" s="37">
        <v>43776</v>
      </c>
      <c r="C67" s="38" t="s">
        <v>2479</v>
      </c>
    </row>
    <row r="68" spans="1:3" ht="93.75" x14ac:dyDescent="0.25">
      <c r="A68" s="34" t="s">
        <v>2480</v>
      </c>
      <c r="B68" s="37">
        <v>43742</v>
      </c>
      <c r="C68" s="38" t="s">
        <v>2481</v>
      </c>
    </row>
    <row r="69" spans="1:3" ht="93.75" x14ac:dyDescent="0.25">
      <c r="A69" s="34" t="s">
        <v>2482</v>
      </c>
      <c r="B69" s="37">
        <v>43727</v>
      </c>
      <c r="C69" s="38" t="s">
        <v>2483</v>
      </c>
    </row>
    <row r="70" spans="1:3" ht="37.5" x14ac:dyDescent="0.25">
      <c r="A70" s="34" t="s">
        <v>2484</v>
      </c>
      <c r="B70" s="37">
        <v>43717</v>
      </c>
      <c r="C70" s="38" t="s">
        <v>2485</v>
      </c>
    </row>
    <row r="71" spans="1:3" ht="18.75" x14ac:dyDescent="0.25">
      <c r="A71" s="34" t="s">
        <v>2486</v>
      </c>
      <c r="B71" s="37">
        <v>43710</v>
      </c>
      <c r="C71" s="35" t="s">
        <v>2487</v>
      </c>
    </row>
    <row r="72" spans="1:3" ht="225" x14ac:dyDescent="0.25">
      <c r="A72" s="34" t="s">
        <v>2488</v>
      </c>
      <c r="B72" s="37">
        <v>43700</v>
      </c>
      <c r="C72" s="38" t="s">
        <v>2489</v>
      </c>
    </row>
    <row r="73" spans="1:3" ht="37.5" x14ac:dyDescent="0.25">
      <c r="A73" s="34" t="s">
        <v>2490</v>
      </c>
      <c r="B73" s="37">
        <v>43669</v>
      </c>
      <c r="C73" s="38" t="s">
        <v>2491</v>
      </c>
    </row>
    <row r="74" spans="1:3" ht="56.25" x14ac:dyDescent="0.25">
      <c r="A74" s="34" t="s">
        <v>2492</v>
      </c>
      <c r="B74" s="37">
        <v>43654</v>
      </c>
      <c r="C74" s="38" t="s">
        <v>2493</v>
      </c>
    </row>
    <row r="75" spans="1:3" ht="37.5" x14ac:dyDescent="0.25">
      <c r="A75" s="34" t="s">
        <v>2494</v>
      </c>
      <c r="B75" s="37">
        <v>43650</v>
      </c>
      <c r="C75" s="38" t="s">
        <v>2495</v>
      </c>
    </row>
    <row r="76" spans="1:3" ht="18.75" x14ac:dyDescent="0.25">
      <c r="A76" s="41" t="s">
        <v>2496</v>
      </c>
      <c r="B76" s="42">
        <v>43647</v>
      </c>
      <c r="C76" s="43" t="s">
        <v>2497</v>
      </c>
    </row>
    <row r="77" spans="1:3" ht="18.75" x14ac:dyDescent="0.25">
      <c r="A77" s="34" t="s">
        <v>2498</v>
      </c>
      <c r="B77" s="37">
        <v>43641</v>
      </c>
      <c r="C77" s="38" t="s">
        <v>2499</v>
      </c>
    </row>
    <row r="78" spans="1:3" ht="75" x14ac:dyDescent="0.25">
      <c r="A78" s="44" t="s">
        <v>2500</v>
      </c>
      <c r="B78" s="37">
        <v>43629</v>
      </c>
      <c r="C78" s="38" t="s">
        <v>2501</v>
      </c>
    </row>
    <row r="79" spans="1:3" ht="93.75" x14ac:dyDescent="0.25">
      <c r="A79" s="44" t="s">
        <v>2502</v>
      </c>
      <c r="B79" s="45">
        <v>43608</v>
      </c>
      <c r="C79" s="38" t="s">
        <v>2503</v>
      </c>
    </row>
    <row r="80" spans="1:3" ht="243.75" x14ac:dyDescent="0.25">
      <c r="A80" s="44" t="s">
        <v>2504</v>
      </c>
      <c r="B80" s="45">
        <v>43602</v>
      </c>
      <c r="C80" s="38" t="s">
        <v>2505</v>
      </c>
    </row>
    <row r="81" spans="1:3" ht="281.25" x14ac:dyDescent="0.25">
      <c r="A81" s="44" t="s">
        <v>2506</v>
      </c>
      <c r="B81" s="45">
        <v>43556</v>
      </c>
      <c r="C81" s="46" t="s">
        <v>2507</v>
      </c>
    </row>
    <row r="82" spans="1:3" ht="112.5" x14ac:dyDescent="0.25">
      <c r="A82" s="44" t="s">
        <v>2508</v>
      </c>
      <c r="B82" s="45">
        <v>43521</v>
      </c>
      <c r="C82" s="46" t="s">
        <v>2509</v>
      </c>
    </row>
    <row r="83" spans="1:3" ht="37.5" x14ac:dyDescent="0.25">
      <c r="A83" s="44" t="s">
        <v>2510</v>
      </c>
      <c r="B83" s="45">
        <v>43509</v>
      </c>
      <c r="C83" s="46" t="s">
        <v>2511</v>
      </c>
    </row>
    <row r="84" spans="1:3" ht="56.25" x14ac:dyDescent="0.25">
      <c r="A84" s="44" t="s">
        <v>2512</v>
      </c>
      <c r="B84" s="45">
        <v>43489</v>
      </c>
      <c r="C84" s="46" t="s">
        <v>2513</v>
      </c>
    </row>
    <row r="85" spans="1:3" ht="37.5" x14ac:dyDescent="0.25">
      <c r="A85" s="44" t="s">
        <v>2514</v>
      </c>
      <c r="B85" s="45">
        <v>43483</v>
      </c>
      <c r="C85" s="46" t="s">
        <v>2515</v>
      </c>
    </row>
    <row r="86" spans="1:3" ht="150" x14ac:dyDescent="0.25">
      <c r="A86" s="44" t="s">
        <v>2516</v>
      </c>
      <c r="B86" s="45">
        <v>43466</v>
      </c>
      <c r="C86" s="46" t="s">
        <v>2517</v>
      </c>
    </row>
    <row r="87" spans="1:3" ht="18.75" x14ac:dyDescent="0.25">
      <c r="A87" s="44" t="s">
        <v>2518</v>
      </c>
      <c r="B87" s="45">
        <v>43451</v>
      </c>
      <c r="C87" s="48" t="s">
        <v>2519</v>
      </c>
    </row>
    <row r="88" spans="1:3" ht="56.25" x14ac:dyDescent="0.25">
      <c r="A88" s="44" t="s">
        <v>2520</v>
      </c>
      <c r="B88" s="45">
        <v>43448</v>
      </c>
      <c r="C88" s="46" t="s">
        <v>2521</v>
      </c>
    </row>
    <row r="89" spans="1:3" ht="18.75" x14ac:dyDescent="0.25">
      <c r="A89" s="44" t="s">
        <v>2522</v>
      </c>
      <c r="B89" s="45">
        <v>43444</v>
      </c>
      <c r="C89" s="48" t="s">
        <v>2523</v>
      </c>
    </row>
    <row r="90" spans="1:3" ht="93.75" x14ac:dyDescent="0.25">
      <c r="A90" s="49" t="s">
        <v>2524</v>
      </c>
      <c r="B90" s="50">
        <v>43420</v>
      </c>
      <c r="C90" s="51" t="s">
        <v>2525</v>
      </c>
    </row>
    <row r="91" spans="1:3" ht="18.75" x14ac:dyDescent="0.25">
      <c r="A91" s="49" t="s">
        <v>2526</v>
      </c>
      <c r="B91" s="50">
        <v>43411</v>
      </c>
      <c r="C91" s="52" t="s">
        <v>2527</v>
      </c>
    </row>
    <row r="92" spans="1:3" ht="18.75" x14ac:dyDescent="0.25">
      <c r="A92" s="34" t="s">
        <v>2528</v>
      </c>
      <c r="B92" s="37">
        <v>43404</v>
      </c>
      <c r="C92" s="35" t="s">
        <v>2529</v>
      </c>
    </row>
    <row r="93" spans="1:3" ht="37.5" x14ac:dyDescent="0.25">
      <c r="A93" s="34" t="s">
        <v>2530</v>
      </c>
      <c r="B93" s="37">
        <v>43395</v>
      </c>
      <c r="C93" s="38" t="s">
        <v>2531</v>
      </c>
    </row>
    <row r="94" spans="1:3" ht="300" x14ac:dyDescent="0.25">
      <c r="A94" s="34" t="s">
        <v>2532</v>
      </c>
      <c r="B94" s="37">
        <v>43367</v>
      </c>
      <c r="C94" s="38" t="s">
        <v>2533</v>
      </c>
    </row>
    <row r="95" spans="1:3" ht="37.5" x14ac:dyDescent="0.25">
      <c r="A95" s="34" t="s">
        <v>2534</v>
      </c>
      <c r="B95" s="37">
        <v>43311</v>
      </c>
      <c r="C95" s="38" t="s">
        <v>2535</v>
      </c>
    </row>
    <row r="96" spans="1:3" ht="18.75" x14ac:dyDescent="0.25">
      <c r="A96" s="34" t="s">
        <v>2536</v>
      </c>
      <c r="B96" s="37">
        <v>43297</v>
      </c>
      <c r="C96" s="35" t="s">
        <v>2537</v>
      </c>
    </row>
    <row r="97" spans="1:3" ht="18.75" x14ac:dyDescent="0.25">
      <c r="A97" s="34" t="s">
        <v>2538</v>
      </c>
      <c r="B97" s="37">
        <v>43294</v>
      </c>
      <c r="C97" s="35" t="s">
        <v>2539</v>
      </c>
    </row>
    <row r="98" spans="1:3" ht="18.75" x14ac:dyDescent="0.25">
      <c r="A98" s="34" t="s">
        <v>2540</v>
      </c>
      <c r="B98" s="37">
        <v>43290</v>
      </c>
      <c r="C98" s="38" t="s">
        <v>2541</v>
      </c>
    </row>
    <row r="99" spans="1:3" ht="168.75" x14ac:dyDescent="0.25">
      <c r="A99" s="34" t="s">
        <v>2542</v>
      </c>
      <c r="B99" s="37">
        <v>43284</v>
      </c>
      <c r="C99" s="38" t="s">
        <v>2543</v>
      </c>
    </row>
    <row r="100" spans="1:3" ht="56.25" x14ac:dyDescent="0.25">
      <c r="A100" s="34" t="s">
        <v>2544</v>
      </c>
      <c r="B100" s="37">
        <v>43265</v>
      </c>
      <c r="C100" s="38" t="s">
        <v>2545</v>
      </c>
    </row>
    <row r="101" spans="1:3" ht="112.5" x14ac:dyDescent="0.25">
      <c r="A101" s="34" t="s">
        <v>2546</v>
      </c>
      <c r="B101" s="37">
        <v>43231</v>
      </c>
      <c r="C101" s="38" t="s">
        <v>2547</v>
      </c>
    </row>
    <row r="102" spans="1:3" ht="75" x14ac:dyDescent="0.25">
      <c r="A102" s="34" t="s">
        <v>2548</v>
      </c>
      <c r="B102" s="37">
        <v>43215</v>
      </c>
      <c r="C102" s="38" t="s">
        <v>2549</v>
      </c>
    </row>
    <row r="103" spans="1:3" ht="18.75" x14ac:dyDescent="0.25">
      <c r="A103" s="34" t="s">
        <v>2550</v>
      </c>
      <c r="B103" s="37">
        <v>43201</v>
      </c>
      <c r="C103" s="35" t="s">
        <v>2551</v>
      </c>
    </row>
    <row r="104" spans="1:3" ht="18.75" x14ac:dyDescent="0.25">
      <c r="A104" s="34" t="s">
        <v>2552</v>
      </c>
      <c r="B104" s="37">
        <v>43187</v>
      </c>
      <c r="C104" s="38" t="s">
        <v>2553</v>
      </c>
    </row>
    <row r="105" spans="1:3" ht="37.5" x14ac:dyDescent="0.25">
      <c r="A105" s="34" t="s">
        <v>2554</v>
      </c>
      <c r="B105" s="37">
        <v>43180</v>
      </c>
      <c r="C105" s="38" t="s">
        <v>2555</v>
      </c>
    </row>
    <row r="106" spans="1:3" ht="75" x14ac:dyDescent="0.25">
      <c r="A106" s="34" t="s">
        <v>2556</v>
      </c>
      <c r="B106" s="37">
        <v>43175</v>
      </c>
      <c r="C106" s="38" t="s">
        <v>2557</v>
      </c>
    </row>
    <row r="107" spans="1:3" ht="18.75" x14ac:dyDescent="0.25">
      <c r="A107" s="34" t="s">
        <v>2558</v>
      </c>
      <c r="B107" s="37">
        <v>43161</v>
      </c>
      <c r="C107" s="35" t="s">
        <v>2559</v>
      </c>
    </row>
    <row r="108" spans="1:3" ht="18.75" x14ac:dyDescent="0.25">
      <c r="A108" s="34" t="s">
        <v>2560</v>
      </c>
      <c r="B108" s="37">
        <v>43158</v>
      </c>
      <c r="C108" s="35" t="s">
        <v>2561</v>
      </c>
    </row>
    <row r="109" spans="1:3" ht="18.75" x14ac:dyDescent="0.25">
      <c r="A109" s="34" t="s">
        <v>2562</v>
      </c>
      <c r="B109" s="37">
        <v>43157</v>
      </c>
      <c r="C109" s="35" t="s">
        <v>2563</v>
      </c>
    </row>
    <row r="110" spans="1:3" ht="150" x14ac:dyDescent="0.25">
      <c r="A110" s="53" t="s">
        <v>2564</v>
      </c>
      <c r="B110" s="37">
        <v>43151</v>
      </c>
      <c r="C110" s="38" t="s">
        <v>2565</v>
      </c>
    </row>
  </sheetData>
  <mergeCells count="14">
    <mergeCell ref="A2:A6"/>
    <mergeCell ref="B2:B6"/>
    <mergeCell ref="A15:A16"/>
    <mergeCell ref="B15:B16"/>
    <mergeCell ref="C15:C16"/>
    <mergeCell ref="A27:A28"/>
    <mergeCell ref="B27:B28"/>
    <mergeCell ref="C27:C28"/>
    <mergeCell ref="C34:C35"/>
    <mergeCell ref="B34:B35"/>
    <mergeCell ref="A34:A35"/>
    <mergeCell ref="A30:A31"/>
    <mergeCell ref="B30:B31"/>
    <mergeCell ref="C30:C31"/>
  </mergeCells>
  <hyperlinks>
    <hyperlink ref="C3" location="'Прайс свет'!R425C2" display="универсальные светильники VAR;"/>
    <hyperlink ref="C4" location="'Прайс свет'!R1030C2" display="улично-промышленные светильники COB-VAR (COB 2.0);"/>
    <hyperlink ref="C6" location="'Прайс свет'!R509C2" display="DUO, TRIO и углами расположения модулей под 90 градусов.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4" tint="0.79998168889431442"/>
  </sheetPr>
  <dimension ref="A6:I20"/>
  <sheetViews>
    <sheetView workbookViewId="0">
      <selection activeCell="G30" sqref="G30"/>
    </sheetView>
  </sheetViews>
  <sheetFormatPr defaultRowHeight="15" x14ac:dyDescent="0.25"/>
  <cols>
    <col min="1" max="1" width="44.28515625" customWidth="1"/>
    <col min="2" max="2" width="7.85546875" customWidth="1"/>
    <col min="4" max="4" width="20.85546875" customWidth="1"/>
    <col min="7" max="7" width="28" customWidth="1"/>
    <col min="8" max="8" width="18.140625" customWidth="1"/>
  </cols>
  <sheetData>
    <row r="6" spans="1:9" x14ac:dyDescent="0.25">
      <c r="A6" s="54" t="s">
        <v>2566</v>
      </c>
      <c r="F6" s="89"/>
      <c r="G6" s="89"/>
      <c r="H6" s="89"/>
      <c r="I6" s="89"/>
    </row>
    <row r="7" spans="1:9" x14ac:dyDescent="0.25">
      <c r="A7" s="11" t="s">
        <v>1835</v>
      </c>
      <c r="C7" s="11" t="s">
        <v>57</v>
      </c>
      <c r="D7" s="8" t="str">
        <f>A7</f>
        <v>SVT-ARH-Fort-1200-52W-10x60</v>
      </c>
      <c r="F7" s="89"/>
      <c r="G7" s="277" t="s">
        <v>2433</v>
      </c>
      <c r="H7" s="277"/>
      <c r="I7" s="89"/>
    </row>
    <row r="8" spans="1:9" x14ac:dyDescent="0.25">
      <c r="A8" s="55">
        <v>52</v>
      </c>
      <c r="C8" s="11" t="s">
        <v>2568</v>
      </c>
      <c r="D8" s="8">
        <f>A9</f>
        <v>7340</v>
      </c>
      <c r="E8" t="s">
        <v>2569</v>
      </c>
      <c r="F8" s="89"/>
      <c r="G8" s="277" t="s">
        <v>2570</v>
      </c>
      <c r="H8" s="277"/>
      <c r="I8" s="89"/>
    </row>
    <row r="9" spans="1:9" x14ac:dyDescent="0.25">
      <c r="A9" s="56">
        <v>7340</v>
      </c>
      <c r="C9" s="11" t="s">
        <v>2571</v>
      </c>
      <c r="D9" s="8">
        <f>A8</f>
        <v>52</v>
      </c>
      <c r="E9" t="s">
        <v>2572</v>
      </c>
      <c r="F9" s="89"/>
      <c r="G9" s="90" t="str">
        <f>D7</f>
        <v>SVT-ARH-Fort-1200-52W-10x60</v>
      </c>
      <c r="H9" s="91"/>
      <c r="I9" s="89"/>
    </row>
    <row r="10" spans="1:9" x14ac:dyDescent="0.25">
      <c r="A10" s="57" t="s">
        <v>105</v>
      </c>
      <c r="C10" s="11" t="s">
        <v>2573</v>
      </c>
      <c r="D10" s="8">
        <f>A11</f>
        <v>67</v>
      </c>
      <c r="F10" s="89"/>
      <c r="G10" s="91" t="str">
        <f>C12&amp;D12</f>
        <v>Питание: 176-264В АС, 50Гц</v>
      </c>
      <c r="H10" s="92"/>
      <c r="I10" s="89"/>
    </row>
    <row r="11" spans="1:9" x14ac:dyDescent="0.25">
      <c r="A11" s="58">
        <v>67</v>
      </c>
      <c r="C11" s="11" t="s">
        <v>2574</v>
      </c>
      <c r="D11" s="8" t="str">
        <f>A10</f>
        <v>5 лет</v>
      </c>
      <c r="F11" s="89"/>
      <c r="G11" s="91" t="str">
        <f>C9&amp;D9&amp;E9</f>
        <v>Мощность: 52Вт</v>
      </c>
      <c r="H11" s="92" t="str">
        <f>C8&amp;D8&amp;E8</f>
        <v>Св. поток: 7340лм</v>
      </c>
      <c r="I11" s="89"/>
    </row>
    <row r="12" spans="1:9" x14ac:dyDescent="0.25">
      <c r="A12" s="59" t="s">
        <v>106</v>
      </c>
      <c r="C12" s="11" t="s">
        <v>2575</v>
      </c>
      <c r="D12" s="8" t="str">
        <f>A12</f>
        <v>176-264В АС, 50Гц</v>
      </c>
      <c r="F12" s="89"/>
      <c r="G12" s="93" t="str">
        <f>C14&amp;D14</f>
        <v>Климатич. исп.: У1</v>
      </c>
      <c r="H12" s="92" t="str">
        <f>C10&amp;D10</f>
        <v>IP: 67</v>
      </c>
      <c r="I12" s="89"/>
    </row>
    <row r="13" spans="1:9" x14ac:dyDescent="0.25">
      <c r="A13" s="60" t="s">
        <v>1569</v>
      </c>
      <c r="C13" s="11" t="s">
        <v>2576</v>
      </c>
      <c r="D13" s="65" t="s">
        <v>1720</v>
      </c>
      <c r="F13" s="89"/>
      <c r="G13" s="91" t="str">
        <f>C17&amp;D17</f>
        <v>Т окр.: -40°/+40° С</v>
      </c>
      <c r="H13" s="94" t="str">
        <f>D13</f>
        <v>5000K</v>
      </c>
      <c r="I13" s="89"/>
    </row>
    <row r="14" spans="1:9" x14ac:dyDescent="0.25">
      <c r="A14" s="61">
        <v>2.1</v>
      </c>
      <c r="C14" s="11" t="s">
        <v>2577</v>
      </c>
      <c r="D14" s="8" t="str">
        <f>A16</f>
        <v>У1</v>
      </c>
      <c r="F14" s="89"/>
      <c r="G14" s="91" t="str">
        <f>CONCATENATE(C15,D15,E15)</f>
        <v>Размеры: 1200х70х65мм</v>
      </c>
      <c r="H14" s="92" t="str">
        <f>CONCATENATE(C16,D16,E16)</f>
        <v>Масса: 2,1кг</v>
      </c>
      <c r="I14" s="89"/>
    </row>
    <row r="15" spans="1:9" x14ac:dyDescent="0.25">
      <c r="A15" s="62" t="s">
        <v>77</v>
      </c>
      <c r="C15" s="11" t="s">
        <v>2578</v>
      </c>
      <c r="D15" s="8" t="str">
        <f>A13</f>
        <v>1200х70х65</v>
      </c>
      <c r="E15" t="s">
        <v>2579</v>
      </c>
      <c r="F15" s="89"/>
      <c r="G15" s="95" t="s">
        <v>2580</v>
      </c>
      <c r="H15" s="96">
        <f ca="1">TODAY()</f>
        <v>45049</v>
      </c>
      <c r="I15" s="89"/>
    </row>
    <row r="16" spans="1:9" x14ac:dyDescent="0.25">
      <c r="A16" s="63" t="s">
        <v>73</v>
      </c>
      <c r="C16" s="11" t="s">
        <v>2581</v>
      </c>
      <c r="D16" s="8">
        <f>A14</f>
        <v>2.1</v>
      </c>
      <c r="E16" t="s">
        <v>2582</v>
      </c>
      <c r="F16" s="89"/>
      <c r="G16" s="91" t="str">
        <f>CONCATENATE(B11,C11,D11)</f>
        <v>Гарантия: 5 лет</v>
      </c>
      <c r="H16" s="91"/>
      <c r="I16" s="89"/>
    </row>
    <row r="17" spans="1:9" x14ac:dyDescent="0.25">
      <c r="A17" s="64" t="s">
        <v>70</v>
      </c>
      <c r="C17" s="11" t="s">
        <v>2583</v>
      </c>
      <c r="D17" s="8" t="str">
        <f>A15</f>
        <v>-40°/+40° С</v>
      </c>
      <c r="F17" s="89"/>
      <c r="G17" s="91" t="s">
        <v>2584</v>
      </c>
      <c r="H17" s="91"/>
      <c r="I17" s="89"/>
    </row>
    <row r="18" spans="1:9" x14ac:dyDescent="0.25">
      <c r="A18" s="11" t="s">
        <v>2567</v>
      </c>
      <c r="C18" s="11" t="s">
        <v>2585</v>
      </c>
      <c r="D18" s="66">
        <f ca="1">TODAY()</f>
        <v>45049</v>
      </c>
      <c r="F18" s="89"/>
      <c r="G18" s="91" t="s">
        <v>2586</v>
      </c>
      <c r="H18" s="97" t="s">
        <v>2587</v>
      </c>
      <c r="I18" s="89"/>
    </row>
    <row r="19" spans="1:9" x14ac:dyDescent="0.25">
      <c r="F19" s="89"/>
      <c r="G19" s="89"/>
      <c r="H19" s="89"/>
      <c r="I19" s="89"/>
    </row>
    <row r="20" spans="1:9" x14ac:dyDescent="0.25">
      <c r="F20" s="89"/>
      <c r="G20" s="89"/>
      <c r="H20" s="89"/>
      <c r="I20" s="89"/>
    </row>
  </sheetData>
  <mergeCells count="2">
    <mergeCell ref="G7:H7"/>
    <mergeCell ref="G8:H8"/>
  </mergeCells>
  <hyperlinks>
    <hyperlink ref="H18" r:id="rId2"/>
  </hyperlinks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Right="0"/>
  </sheetPr>
  <dimension ref="A1:AE13"/>
  <sheetViews>
    <sheetView tabSelected="1" topLeftCell="AD1" workbookViewId="0">
      <selection activeCell="AF1" sqref="AF1:AG1048576"/>
    </sheetView>
  </sheetViews>
  <sheetFormatPr defaultRowHeight="15" outlineLevelCol="1" x14ac:dyDescent="0.25"/>
  <cols>
    <col min="1" max="1" width="30.42578125" customWidth="1"/>
    <col min="2" max="2" width="19.85546875" customWidth="1"/>
    <col min="3" max="3" width="44.5703125" customWidth="1"/>
    <col min="4" max="4" width="16" customWidth="1"/>
    <col min="5" max="5" width="14.140625" customWidth="1"/>
    <col min="6" max="6" width="15.85546875" customWidth="1"/>
    <col min="7" max="7" width="17.140625" customWidth="1"/>
    <col min="8" max="8" width="9.85546875" customWidth="1"/>
    <col min="9" max="9" width="11.7109375" customWidth="1" collapsed="1"/>
    <col min="10" max="10" width="22" hidden="1" customWidth="1" outlineLevel="1"/>
    <col min="11" max="26" width="9.140625" hidden="1" customWidth="1" outlineLevel="1"/>
    <col min="27" max="27" width="15.28515625" hidden="1" customWidth="1" outlineLevel="1"/>
    <col min="28" max="28" width="15.140625" customWidth="1"/>
    <col min="29" max="29" width="11.42578125" customWidth="1"/>
    <col min="30" max="31" width="14.28515625" customWidth="1"/>
  </cols>
  <sheetData>
    <row r="1" spans="1:31" s="12" customFormat="1" ht="44.25" customHeight="1" x14ac:dyDescent="0.25">
      <c r="A1" s="26" t="s">
        <v>0</v>
      </c>
      <c r="B1" s="26" t="s">
        <v>58</v>
      </c>
      <c r="C1" s="26" t="s">
        <v>57</v>
      </c>
      <c r="D1" s="26" t="s">
        <v>56</v>
      </c>
      <c r="E1" s="26" t="s">
        <v>55</v>
      </c>
      <c r="F1" s="26" t="s">
        <v>54</v>
      </c>
      <c r="G1" s="26" t="s">
        <v>52</v>
      </c>
      <c r="H1" s="26" t="s">
        <v>51</v>
      </c>
      <c r="I1" s="26" t="s">
        <v>50</v>
      </c>
      <c r="J1" s="26" t="s">
        <v>49</v>
      </c>
      <c r="K1" s="26" t="s">
        <v>48</v>
      </c>
      <c r="L1" s="26" t="s">
        <v>47</v>
      </c>
      <c r="M1" s="26" t="s">
        <v>46</v>
      </c>
      <c r="N1" s="26" t="s">
        <v>45</v>
      </c>
      <c r="O1" s="26" t="s">
        <v>44</v>
      </c>
      <c r="P1" s="26" t="s">
        <v>43</v>
      </c>
      <c r="Q1" s="26" t="s">
        <v>42</v>
      </c>
      <c r="R1" s="26" t="s">
        <v>41</v>
      </c>
      <c r="S1" s="26" t="s">
        <v>40</v>
      </c>
      <c r="T1" s="26" t="s">
        <v>39</v>
      </c>
      <c r="U1" s="26" t="s">
        <v>38</v>
      </c>
      <c r="V1" s="26" t="s">
        <v>37</v>
      </c>
      <c r="W1" s="26" t="s">
        <v>36</v>
      </c>
      <c r="X1" s="26" t="s">
        <v>35</v>
      </c>
      <c r="Y1" s="26" t="s">
        <v>34</v>
      </c>
      <c r="Z1" s="26" t="s">
        <v>33</v>
      </c>
      <c r="AA1" s="26" t="s">
        <v>32</v>
      </c>
      <c r="AB1" s="245" t="s">
        <v>4486</v>
      </c>
      <c r="AC1" s="246" t="s">
        <v>4487</v>
      </c>
      <c r="AD1" s="246" t="s">
        <v>4488</v>
      </c>
      <c r="AE1" s="246" t="s">
        <v>4489</v>
      </c>
    </row>
    <row r="2" spans="1:31" s="12" customFormat="1" ht="39.950000000000003" customHeight="1" x14ac:dyDescent="0.25">
      <c r="A2" s="26"/>
      <c r="B2" s="26" t="s">
        <v>4471</v>
      </c>
      <c r="C2" s="247" t="s">
        <v>4497</v>
      </c>
      <c r="D2" s="248">
        <v>8300</v>
      </c>
      <c r="E2" s="248">
        <v>54</v>
      </c>
      <c r="F2" s="248">
        <v>154</v>
      </c>
      <c r="G2" s="30" t="s">
        <v>4472</v>
      </c>
      <c r="H2" s="30">
        <v>67</v>
      </c>
      <c r="I2" s="30" t="s">
        <v>105</v>
      </c>
      <c r="J2" s="26" t="s">
        <v>106</v>
      </c>
      <c r="K2" s="30" t="s">
        <v>3380</v>
      </c>
      <c r="L2" s="26" t="s">
        <v>1685</v>
      </c>
      <c r="M2" s="30" t="s">
        <v>67</v>
      </c>
      <c r="N2" s="26" t="s">
        <v>3351</v>
      </c>
      <c r="O2" s="30" t="s">
        <v>109</v>
      </c>
      <c r="P2" s="26" t="s">
        <v>70</v>
      </c>
      <c r="Q2" s="30">
        <v>70</v>
      </c>
      <c r="R2" s="30" t="s">
        <v>4473</v>
      </c>
      <c r="S2" s="30" t="s">
        <v>141</v>
      </c>
      <c r="T2" s="30" t="s">
        <v>142</v>
      </c>
      <c r="U2" s="26" t="s">
        <v>74</v>
      </c>
      <c r="V2" s="26" t="s">
        <v>112</v>
      </c>
      <c r="W2" s="30" t="s">
        <v>4474</v>
      </c>
      <c r="X2" s="30">
        <v>1.1440000000000001E-2</v>
      </c>
      <c r="Y2" s="30">
        <v>1.8</v>
      </c>
      <c r="Z2" s="30" t="s">
        <v>4475</v>
      </c>
      <c r="AA2" s="30" t="s">
        <v>114</v>
      </c>
      <c r="AB2" s="249">
        <v>6467</v>
      </c>
      <c r="AC2" s="250">
        <v>5706</v>
      </c>
      <c r="AD2" s="250">
        <v>5516</v>
      </c>
      <c r="AE2" s="250">
        <v>5136</v>
      </c>
    </row>
    <row r="3" spans="1:31" s="12" customFormat="1" ht="39.950000000000003" customHeight="1" x14ac:dyDescent="0.25">
      <c r="A3" s="26"/>
      <c r="B3" s="26" t="s">
        <v>4471</v>
      </c>
      <c r="C3" s="247" t="s">
        <v>4496</v>
      </c>
      <c r="D3" s="248">
        <v>8300</v>
      </c>
      <c r="E3" s="248">
        <v>54</v>
      </c>
      <c r="F3" s="248">
        <v>154</v>
      </c>
      <c r="G3" s="30" t="s">
        <v>4472</v>
      </c>
      <c r="H3" s="30">
        <v>67</v>
      </c>
      <c r="I3" s="30" t="s">
        <v>105</v>
      </c>
      <c r="J3" s="26" t="s">
        <v>106</v>
      </c>
      <c r="K3" s="30" t="s">
        <v>3380</v>
      </c>
      <c r="L3" s="26" t="s">
        <v>1685</v>
      </c>
      <c r="M3" s="30" t="s">
        <v>67</v>
      </c>
      <c r="N3" s="26" t="s">
        <v>3351</v>
      </c>
      <c r="O3" s="30" t="s">
        <v>109</v>
      </c>
      <c r="P3" s="26" t="s">
        <v>70</v>
      </c>
      <c r="Q3" s="30">
        <v>70</v>
      </c>
      <c r="R3" s="30" t="s">
        <v>4473</v>
      </c>
      <c r="S3" s="30" t="s">
        <v>141</v>
      </c>
      <c r="T3" s="30" t="s">
        <v>142</v>
      </c>
      <c r="U3" s="26" t="s">
        <v>74</v>
      </c>
      <c r="V3" s="26" t="s">
        <v>112</v>
      </c>
      <c r="W3" s="30" t="s">
        <v>4476</v>
      </c>
      <c r="X3" s="30">
        <v>1.1440000000000001E-2</v>
      </c>
      <c r="Y3" s="30">
        <v>1.8</v>
      </c>
      <c r="Z3" s="30" t="s">
        <v>4475</v>
      </c>
      <c r="AA3" s="30" t="s">
        <v>114</v>
      </c>
      <c r="AB3" s="249">
        <v>6467</v>
      </c>
      <c r="AC3" s="250">
        <v>5706</v>
      </c>
      <c r="AD3" s="250">
        <v>5516</v>
      </c>
      <c r="AE3" s="250">
        <v>5136</v>
      </c>
    </row>
    <row r="4" spans="1:31" s="12" customFormat="1" ht="39.950000000000003" customHeight="1" x14ac:dyDescent="0.25">
      <c r="A4" s="26"/>
      <c r="B4" s="26" t="s">
        <v>4471</v>
      </c>
      <c r="C4" s="247" t="s">
        <v>4495</v>
      </c>
      <c r="D4" s="248">
        <v>8300</v>
      </c>
      <c r="E4" s="248">
        <v>54</v>
      </c>
      <c r="F4" s="248">
        <v>154</v>
      </c>
      <c r="G4" s="30">
        <v>150</v>
      </c>
      <c r="H4" s="30">
        <v>67</v>
      </c>
      <c r="I4" s="30" t="s">
        <v>105</v>
      </c>
      <c r="J4" s="26" t="s">
        <v>106</v>
      </c>
      <c r="K4" s="30" t="s">
        <v>3380</v>
      </c>
      <c r="L4" s="26" t="s">
        <v>1685</v>
      </c>
      <c r="M4" s="30" t="s">
        <v>67</v>
      </c>
      <c r="N4" s="26" t="s">
        <v>3351</v>
      </c>
      <c r="O4" s="30" t="s">
        <v>109</v>
      </c>
      <c r="P4" s="26" t="s">
        <v>70</v>
      </c>
      <c r="Q4" s="30">
        <v>70</v>
      </c>
      <c r="R4" s="30" t="s">
        <v>4473</v>
      </c>
      <c r="S4" s="30" t="s">
        <v>141</v>
      </c>
      <c r="T4" s="30" t="s">
        <v>142</v>
      </c>
      <c r="U4" s="26" t="s">
        <v>74</v>
      </c>
      <c r="V4" s="26" t="s">
        <v>112</v>
      </c>
      <c r="W4" s="30" t="s">
        <v>4476</v>
      </c>
      <c r="X4" s="30">
        <v>1.1440000000000001E-2</v>
      </c>
      <c r="Y4" s="30">
        <v>1.8</v>
      </c>
      <c r="Z4" s="30" t="s">
        <v>4475</v>
      </c>
      <c r="AA4" s="30" t="s">
        <v>114</v>
      </c>
      <c r="AB4" s="249">
        <v>6467</v>
      </c>
      <c r="AC4" s="250">
        <v>5706</v>
      </c>
      <c r="AD4" s="250">
        <v>5516</v>
      </c>
      <c r="AE4" s="250">
        <v>5136</v>
      </c>
    </row>
    <row r="5" spans="1:31" s="12" customFormat="1" ht="39.950000000000003" customHeight="1" x14ac:dyDescent="0.25">
      <c r="A5" s="26"/>
      <c r="B5" s="26" t="s">
        <v>4471</v>
      </c>
      <c r="C5" s="247" t="s">
        <v>4494</v>
      </c>
      <c r="D5" s="248">
        <v>8300</v>
      </c>
      <c r="E5" s="248">
        <v>54</v>
      </c>
      <c r="F5" s="248">
        <v>154</v>
      </c>
      <c r="G5" s="30">
        <v>90</v>
      </c>
      <c r="H5" s="30">
        <v>67</v>
      </c>
      <c r="I5" s="30" t="s">
        <v>105</v>
      </c>
      <c r="J5" s="26" t="s">
        <v>106</v>
      </c>
      <c r="K5" s="30" t="s">
        <v>3380</v>
      </c>
      <c r="L5" s="26" t="s">
        <v>1685</v>
      </c>
      <c r="M5" s="30" t="s">
        <v>67</v>
      </c>
      <c r="N5" s="26" t="s">
        <v>3351</v>
      </c>
      <c r="O5" s="30" t="s">
        <v>109</v>
      </c>
      <c r="P5" s="26" t="s">
        <v>70</v>
      </c>
      <c r="Q5" s="30">
        <v>70</v>
      </c>
      <c r="R5" s="30" t="s">
        <v>4473</v>
      </c>
      <c r="S5" s="30" t="s">
        <v>141</v>
      </c>
      <c r="T5" s="30" t="s">
        <v>142</v>
      </c>
      <c r="U5" s="26" t="s">
        <v>74</v>
      </c>
      <c r="V5" s="26" t="s">
        <v>112</v>
      </c>
      <c r="W5" s="30" t="s">
        <v>4476</v>
      </c>
      <c r="X5" s="30">
        <v>1.1440000000000001E-2</v>
      </c>
      <c r="Y5" s="30">
        <v>1.8</v>
      </c>
      <c r="Z5" s="30" t="s">
        <v>4475</v>
      </c>
      <c r="AA5" s="30" t="s">
        <v>114</v>
      </c>
      <c r="AB5" s="249">
        <v>6467</v>
      </c>
      <c r="AC5" s="250">
        <v>5706</v>
      </c>
      <c r="AD5" s="250">
        <v>5516</v>
      </c>
      <c r="AE5" s="250">
        <v>5136</v>
      </c>
    </row>
    <row r="6" spans="1:31" s="12" customFormat="1" ht="39.950000000000003" customHeight="1" x14ac:dyDescent="0.25">
      <c r="A6" s="26"/>
      <c r="B6" s="26" t="s">
        <v>4471</v>
      </c>
      <c r="C6" s="247" t="s">
        <v>4493</v>
      </c>
      <c r="D6" s="248">
        <v>8300</v>
      </c>
      <c r="E6" s="248">
        <v>54</v>
      </c>
      <c r="F6" s="248">
        <v>154</v>
      </c>
      <c r="G6" s="30">
        <v>60</v>
      </c>
      <c r="H6" s="30">
        <v>67</v>
      </c>
      <c r="I6" s="30" t="s">
        <v>105</v>
      </c>
      <c r="J6" s="26" t="s">
        <v>106</v>
      </c>
      <c r="K6" s="30" t="s">
        <v>3380</v>
      </c>
      <c r="L6" s="26" t="s">
        <v>1685</v>
      </c>
      <c r="M6" s="30" t="s">
        <v>67</v>
      </c>
      <c r="N6" s="26" t="s">
        <v>3351</v>
      </c>
      <c r="O6" s="30" t="s">
        <v>109</v>
      </c>
      <c r="P6" s="26" t="s">
        <v>70</v>
      </c>
      <c r="Q6" s="30">
        <v>70</v>
      </c>
      <c r="R6" s="30" t="s">
        <v>4473</v>
      </c>
      <c r="S6" s="30" t="s">
        <v>141</v>
      </c>
      <c r="T6" s="30" t="s">
        <v>142</v>
      </c>
      <c r="U6" s="26" t="s">
        <v>74</v>
      </c>
      <c r="V6" s="26" t="s">
        <v>112</v>
      </c>
      <c r="W6" s="30" t="s">
        <v>4476</v>
      </c>
      <c r="X6" s="30">
        <v>1.1440000000000001E-2</v>
      </c>
      <c r="Y6" s="30">
        <v>1.8</v>
      </c>
      <c r="Z6" s="30" t="s">
        <v>4475</v>
      </c>
      <c r="AA6" s="30" t="s">
        <v>114</v>
      </c>
      <c r="AB6" s="249">
        <v>6467</v>
      </c>
      <c r="AC6" s="250">
        <v>5706</v>
      </c>
      <c r="AD6" s="250">
        <v>5516</v>
      </c>
      <c r="AE6" s="250">
        <v>5136</v>
      </c>
    </row>
    <row r="7" spans="1:31" s="12" customFormat="1" ht="39.950000000000003" customHeight="1" x14ac:dyDescent="0.25">
      <c r="A7" s="26"/>
      <c r="B7" s="26" t="s">
        <v>4471</v>
      </c>
      <c r="C7" s="247" t="s">
        <v>4492</v>
      </c>
      <c r="D7" s="248">
        <v>8300</v>
      </c>
      <c r="E7" s="248">
        <v>54</v>
      </c>
      <c r="F7" s="248">
        <v>154</v>
      </c>
      <c r="G7" s="30">
        <v>30</v>
      </c>
      <c r="H7" s="30">
        <v>67</v>
      </c>
      <c r="I7" s="30" t="s">
        <v>105</v>
      </c>
      <c r="J7" s="26" t="s">
        <v>106</v>
      </c>
      <c r="K7" s="30" t="s">
        <v>3380</v>
      </c>
      <c r="L7" s="26" t="s">
        <v>1685</v>
      </c>
      <c r="M7" s="30" t="s">
        <v>67</v>
      </c>
      <c r="N7" s="26" t="s">
        <v>3351</v>
      </c>
      <c r="O7" s="30" t="s">
        <v>109</v>
      </c>
      <c r="P7" s="26" t="s">
        <v>70</v>
      </c>
      <c r="Q7" s="30">
        <v>70</v>
      </c>
      <c r="R7" s="30" t="s">
        <v>4473</v>
      </c>
      <c r="S7" s="30" t="s">
        <v>141</v>
      </c>
      <c r="T7" s="30" t="s">
        <v>142</v>
      </c>
      <c r="U7" s="26" t="s">
        <v>74</v>
      </c>
      <c r="V7" s="26" t="s">
        <v>160</v>
      </c>
      <c r="W7" s="30" t="s">
        <v>4476</v>
      </c>
      <c r="X7" s="30">
        <v>1.1440000000000001E-2</v>
      </c>
      <c r="Y7" s="30">
        <v>1.8</v>
      </c>
      <c r="Z7" s="30" t="s">
        <v>4475</v>
      </c>
      <c r="AA7" s="30" t="s">
        <v>114</v>
      </c>
      <c r="AB7" s="249">
        <v>6467</v>
      </c>
      <c r="AC7" s="250">
        <v>5706</v>
      </c>
      <c r="AD7" s="250">
        <v>5516</v>
      </c>
      <c r="AE7" s="250">
        <v>5136</v>
      </c>
    </row>
    <row r="8" spans="1:31" s="12" customFormat="1" ht="39.950000000000003" customHeight="1" x14ac:dyDescent="0.25">
      <c r="A8" s="26"/>
      <c r="B8" s="26" t="s">
        <v>4471</v>
      </c>
      <c r="C8" s="247" t="s">
        <v>4477</v>
      </c>
      <c r="D8" s="248">
        <v>12460</v>
      </c>
      <c r="E8" s="248">
        <v>81</v>
      </c>
      <c r="F8" s="248">
        <v>154</v>
      </c>
      <c r="G8" s="30" t="s">
        <v>4472</v>
      </c>
      <c r="H8" s="30">
        <v>67</v>
      </c>
      <c r="I8" s="30" t="s">
        <v>105</v>
      </c>
      <c r="J8" s="26" t="s">
        <v>106</v>
      </c>
      <c r="K8" s="30" t="s">
        <v>3380</v>
      </c>
      <c r="L8" s="26" t="s">
        <v>2107</v>
      </c>
      <c r="M8" s="30" t="s">
        <v>67</v>
      </c>
      <c r="N8" s="26" t="s">
        <v>3351</v>
      </c>
      <c r="O8" s="30" t="s">
        <v>109</v>
      </c>
      <c r="P8" s="26" t="s">
        <v>70</v>
      </c>
      <c r="Q8" s="30">
        <v>70</v>
      </c>
      <c r="R8" s="30" t="s">
        <v>4478</v>
      </c>
      <c r="S8" s="30" t="s">
        <v>141</v>
      </c>
      <c r="T8" s="30" t="s">
        <v>142</v>
      </c>
      <c r="U8" s="26" t="s">
        <v>74</v>
      </c>
      <c r="V8" s="26" t="s">
        <v>112</v>
      </c>
      <c r="W8" s="30" t="s">
        <v>4479</v>
      </c>
      <c r="X8" s="30">
        <v>1.6951999999999998E-2</v>
      </c>
      <c r="Y8" s="30">
        <v>2.6</v>
      </c>
      <c r="Z8" s="30" t="s">
        <v>4475</v>
      </c>
      <c r="AA8" s="30" t="s">
        <v>114</v>
      </c>
      <c r="AB8" s="249">
        <v>9966</v>
      </c>
      <c r="AC8" s="250">
        <v>8793</v>
      </c>
      <c r="AD8" s="250">
        <v>8500</v>
      </c>
      <c r="AE8" s="250">
        <v>7914</v>
      </c>
    </row>
    <row r="9" spans="1:31" s="12" customFormat="1" ht="39.950000000000003" customHeight="1" x14ac:dyDescent="0.25">
      <c r="A9" s="26"/>
      <c r="B9" s="26" t="s">
        <v>4471</v>
      </c>
      <c r="C9" s="247" t="s">
        <v>4480</v>
      </c>
      <c r="D9" s="248">
        <v>12460</v>
      </c>
      <c r="E9" s="248">
        <v>81</v>
      </c>
      <c r="F9" s="248">
        <v>154</v>
      </c>
      <c r="G9" s="30" t="s">
        <v>4472</v>
      </c>
      <c r="H9" s="30">
        <v>67</v>
      </c>
      <c r="I9" s="30" t="s">
        <v>105</v>
      </c>
      <c r="J9" s="26" t="s">
        <v>106</v>
      </c>
      <c r="K9" s="30" t="s">
        <v>3380</v>
      </c>
      <c r="L9" s="26" t="s">
        <v>2107</v>
      </c>
      <c r="M9" s="30" t="s">
        <v>67</v>
      </c>
      <c r="N9" s="26" t="s">
        <v>3351</v>
      </c>
      <c r="O9" s="30" t="s">
        <v>109</v>
      </c>
      <c r="P9" s="26" t="s">
        <v>70</v>
      </c>
      <c r="Q9" s="30">
        <v>70</v>
      </c>
      <c r="R9" s="30" t="s">
        <v>4478</v>
      </c>
      <c r="S9" s="30" t="s">
        <v>141</v>
      </c>
      <c r="T9" s="30" t="s">
        <v>142</v>
      </c>
      <c r="U9" s="26" t="s">
        <v>74</v>
      </c>
      <c r="V9" s="26" t="s">
        <v>112</v>
      </c>
      <c r="W9" s="30" t="s">
        <v>4481</v>
      </c>
      <c r="X9" s="30">
        <v>1.6951999999999998E-2</v>
      </c>
      <c r="Y9" s="30">
        <v>2.6</v>
      </c>
      <c r="Z9" s="30" t="s">
        <v>4475</v>
      </c>
      <c r="AA9" s="30" t="s">
        <v>114</v>
      </c>
      <c r="AB9" s="249">
        <v>9966</v>
      </c>
      <c r="AC9" s="250">
        <v>8793</v>
      </c>
      <c r="AD9" s="250">
        <v>8500</v>
      </c>
      <c r="AE9" s="250">
        <v>7914</v>
      </c>
    </row>
    <row r="10" spans="1:31" s="12" customFormat="1" ht="39.950000000000003" customHeight="1" x14ac:dyDescent="0.25">
      <c r="A10" s="26"/>
      <c r="B10" s="26" t="s">
        <v>4471</v>
      </c>
      <c r="C10" s="247" t="s">
        <v>4482</v>
      </c>
      <c r="D10" s="248">
        <v>12460</v>
      </c>
      <c r="E10" s="248">
        <v>81</v>
      </c>
      <c r="F10" s="248">
        <v>154</v>
      </c>
      <c r="G10" s="30">
        <v>150</v>
      </c>
      <c r="H10" s="30">
        <v>67</v>
      </c>
      <c r="I10" s="30" t="s">
        <v>105</v>
      </c>
      <c r="J10" s="26" t="s">
        <v>106</v>
      </c>
      <c r="K10" s="30" t="s">
        <v>3380</v>
      </c>
      <c r="L10" s="26" t="s">
        <v>2107</v>
      </c>
      <c r="M10" s="30" t="s">
        <v>67</v>
      </c>
      <c r="N10" s="26" t="s">
        <v>3351</v>
      </c>
      <c r="O10" s="30" t="s">
        <v>109</v>
      </c>
      <c r="P10" s="26" t="s">
        <v>70</v>
      </c>
      <c r="Q10" s="30">
        <v>70</v>
      </c>
      <c r="R10" s="30" t="s">
        <v>4478</v>
      </c>
      <c r="S10" s="30" t="s">
        <v>141</v>
      </c>
      <c r="T10" s="30" t="s">
        <v>142</v>
      </c>
      <c r="U10" s="26" t="s">
        <v>74</v>
      </c>
      <c r="V10" s="26" t="s">
        <v>112</v>
      </c>
      <c r="W10" s="30" t="s">
        <v>4481</v>
      </c>
      <c r="X10" s="30">
        <v>1.6951999999999998E-2</v>
      </c>
      <c r="Y10" s="30">
        <v>2.6</v>
      </c>
      <c r="Z10" s="30" t="s">
        <v>4475</v>
      </c>
      <c r="AA10" s="30" t="s">
        <v>114</v>
      </c>
      <c r="AB10" s="249">
        <v>9966</v>
      </c>
      <c r="AC10" s="250">
        <v>8793</v>
      </c>
      <c r="AD10" s="250">
        <v>8500</v>
      </c>
      <c r="AE10" s="250">
        <v>7914</v>
      </c>
    </row>
    <row r="11" spans="1:31" s="12" customFormat="1" ht="39.950000000000003" customHeight="1" x14ac:dyDescent="0.25">
      <c r="A11" s="26"/>
      <c r="B11" s="26" t="s">
        <v>4471</v>
      </c>
      <c r="C11" s="247" t="s">
        <v>4483</v>
      </c>
      <c r="D11" s="248">
        <v>12460</v>
      </c>
      <c r="E11" s="248">
        <v>81</v>
      </c>
      <c r="F11" s="248">
        <v>154</v>
      </c>
      <c r="G11" s="30">
        <v>90</v>
      </c>
      <c r="H11" s="30">
        <v>67</v>
      </c>
      <c r="I11" s="30" t="s">
        <v>105</v>
      </c>
      <c r="J11" s="26" t="s">
        <v>106</v>
      </c>
      <c r="K11" s="30" t="s">
        <v>3380</v>
      </c>
      <c r="L11" s="26" t="s">
        <v>2107</v>
      </c>
      <c r="M11" s="30" t="s">
        <v>67</v>
      </c>
      <c r="N11" s="26" t="s">
        <v>3351</v>
      </c>
      <c r="O11" s="30" t="s">
        <v>109</v>
      </c>
      <c r="P11" s="26" t="s">
        <v>70</v>
      </c>
      <c r="Q11" s="30">
        <v>70</v>
      </c>
      <c r="R11" s="30" t="s">
        <v>4478</v>
      </c>
      <c r="S11" s="30" t="s">
        <v>141</v>
      </c>
      <c r="T11" s="30" t="s">
        <v>142</v>
      </c>
      <c r="U11" s="26" t="s">
        <v>74</v>
      </c>
      <c r="V11" s="26" t="s">
        <v>112</v>
      </c>
      <c r="W11" s="30" t="s">
        <v>4481</v>
      </c>
      <c r="X11" s="30">
        <v>1.6951999999999998E-2</v>
      </c>
      <c r="Y11" s="30">
        <v>2.6</v>
      </c>
      <c r="Z11" s="30" t="s">
        <v>4475</v>
      </c>
      <c r="AA11" s="30" t="s">
        <v>114</v>
      </c>
      <c r="AB11" s="249">
        <v>9966</v>
      </c>
      <c r="AC11" s="250">
        <v>8793</v>
      </c>
      <c r="AD11" s="250">
        <v>8500</v>
      </c>
      <c r="AE11" s="250">
        <v>7914</v>
      </c>
    </row>
    <row r="12" spans="1:31" s="12" customFormat="1" ht="39.950000000000003" customHeight="1" x14ac:dyDescent="0.25">
      <c r="A12" s="26"/>
      <c r="B12" s="26" t="s">
        <v>4471</v>
      </c>
      <c r="C12" s="247" t="s">
        <v>4484</v>
      </c>
      <c r="D12" s="248">
        <v>12460</v>
      </c>
      <c r="E12" s="248">
        <v>81</v>
      </c>
      <c r="F12" s="248">
        <v>154</v>
      </c>
      <c r="G12" s="30">
        <v>60</v>
      </c>
      <c r="H12" s="30">
        <v>67</v>
      </c>
      <c r="I12" s="30" t="s">
        <v>105</v>
      </c>
      <c r="J12" s="26" t="s">
        <v>106</v>
      </c>
      <c r="K12" s="30" t="s">
        <v>3380</v>
      </c>
      <c r="L12" s="26" t="s">
        <v>2107</v>
      </c>
      <c r="M12" s="30" t="s">
        <v>67</v>
      </c>
      <c r="N12" s="26" t="s">
        <v>3351</v>
      </c>
      <c r="O12" s="30" t="s">
        <v>109</v>
      </c>
      <c r="P12" s="26" t="s">
        <v>70</v>
      </c>
      <c r="Q12" s="30">
        <v>70</v>
      </c>
      <c r="R12" s="30" t="s">
        <v>4478</v>
      </c>
      <c r="S12" s="30" t="s">
        <v>141</v>
      </c>
      <c r="T12" s="30" t="s">
        <v>142</v>
      </c>
      <c r="U12" s="26" t="s">
        <v>74</v>
      </c>
      <c r="V12" s="26" t="s">
        <v>112</v>
      </c>
      <c r="W12" s="30" t="s">
        <v>4481</v>
      </c>
      <c r="X12" s="30">
        <v>1.6951999999999998E-2</v>
      </c>
      <c r="Y12" s="30">
        <v>2.6</v>
      </c>
      <c r="Z12" s="30" t="s">
        <v>4475</v>
      </c>
      <c r="AA12" s="30" t="s">
        <v>114</v>
      </c>
      <c r="AB12" s="249">
        <v>9966</v>
      </c>
      <c r="AC12" s="250">
        <v>8793</v>
      </c>
      <c r="AD12" s="250">
        <v>8500</v>
      </c>
      <c r="AE12" s="250">
        <v>7914</v>
      </c>
    </row>
    <row r="13" spans="1:31" s="12" customFormat="1" ht="39.950000000000003" customHeight="1" x14ac:dyDescent="0.25">
      <c r="A13" s="26"/>
      <c r="B13" s="26" t="s">
        <v>4471</v>
      </c>
      <c r="C13" s="247" t="s">
        <v>4485</v>
      </c>
      <c r="D13" s="248">
        <v>12460</v>
      </c>
      <c r="E13" s="248">
        <v>81</v>
      </c>
      <c r="F13" s="248">
        <v>154</v>
      </c>
      <c r="G13" s="30">
        <v>30</v>
      </c>
      <c r="H13" s="30">
        <v>67</v>
      </c>
      <c r="I13" s="30" t="s">
        <v>105</v>
      </c>
      <c r="J13" s="26" t="s">
        <v>106</v>
      </c>
      <c r="K13" s="30" t="s">
        <v>3380</v>
      </c>
      <c r="L13" s="26" t="s">
        <v>2107</v>
      </c>
      <c r="M13" s="30" t="s">
        <v>67</v>
      </c>
      <c r="N13" s="26" t="s">
        <v>3351</v>
      </c>
      <c r="O13" s="30" t="s">
        <v>109</v>
      </c>
      <c r="P13" s="26" t="s">
        <v>70</v>
      </c>
      <c r="Q13" s="30">
        <v>70</v>
      </c>
      <c r="R13" s="30" t="s">
        <v>4478</v>
      </c>
      <c r="S13" s="30" t="s">
        <v>141</v>
      </c>
      <c r="T13" s="30" t="s">
        <v>142</v>
      </c>
      <c r="U13" s="26" t="s">
        <v>74</v>
      </c>
      <c r="V13" s="26" t="s">
        <v>160</v>
      </c>
      <c r="W13" s="30" t="s">
        <v>4481</v>
      </c>
      <c r="X13" s="30">
        <v>1.6951999999999998E-2</v>
      </c>
      <c r="Y13" s="30">
        <v>2.6</v>
      </c>
      <c r="Z13" s="30" t="s">
        <v>4475</v>
      </c>
      <c r="AA13" s="30" t="s">
        <v>114</v>
      </c>
      <c r="AB13" s="249">
        <v>9966</v>
      </c>
      <c r="AC13" s="250">
        <v>8793</v>
      </c>
      <c r="AD13" s="250">
        <v>8500</v>
      </c>
      <c r="AE13" s="250">
        <v>7914</v>
      </c>
    </row>
  </sheetData>
  <conditionalFormatting sqref="B2:I13">
    <cfRule type="expression" dxfId="36" priority="54">
      <formula>MOD(ROW(),2)=0</formula>
    </cfRule>
  </conditionalFormatting>
  <conditionalFormatting sqref="V13">
    <cfRule type="expression" dxfId="35" priority="36">
      <formula>MOD(ROW(),2)=0</formula>
    </cfRule>
  </conditionalFormatting>
  <conditionalFormatting sqref="AA9:AA13">
    <cfRule type="expression" dxfId="34" priority="37">
      <formula>MOD(ROW(),2)=0</formula>
    </cfRule>
  </conditionalFormatting>
  <conditionalFormatting sqref="J2:K2 M2:V2 Q4 Q6 Q8 Q10 Q12 M4 M6 M8 M10 M12">
    <cfRule type="expression" dxfId="33" priority="53">
      <formula>MOD(ROW(),2)=0</formula>
    </cfRule>
  </conditionalFormatting>
  <conditionalFormatting sqref="L2">
    <cfRule type="expression" dxfId="32" priority="52">
      <formula>MOD(ROW(),2)=0</formula>
    </cfRule>
  </conditionalFormatting>
  <conditionalFormatting sqref="W2:AA2 Z3:Z13">
    <cfRule type="expression" dxfId="31" priority="51">
      <formula>MOD(ROW(),2)=0</formula>
    </cfRule>
  </conditionalFormatting>
  <conditionalFormatting sqref="J3:K6 N3:P6 S3:V6">
    <cfRule type="expression" dxfId="30" priority="50">
      <formula>MOD(ROW(),2)=0</formula>
    </cfRule>
  </conditionalFormatting>
  <conditionalFormatting sqref="L3:L6">
    <cfRule type="expression" dxfId="29" priority="49">
      <formula>MOD(ROW(),2)=0</formula>
    </cfRule>
  </conditionalFormatting>
  <conditionalFormatting sqref="W3:Y6 AA3:AA6">
    <cfRule type="expression" dxfId="28" priority="48">
      <formula>MOD(ROW(),2)=0</formula>
    </cfRule>
  </conditionalFormatting>
  <conditionalFormatting sqref="J7:K7 N7:P7 S7:U7">
    <cfRule type="expression" dxfId="27" priority="47">
      <formula>MOD(ROW(),2)=0</formula>
    </cfRule>
  </conditionalFormatting>
  <conditionalFormatting sqref="L7">
    <cfRule type="expression" dxfId="26" priority="46">
      <formula>MOD(ROW(),2)=0</formula>
    </cfRule>
  </conditionalFormatting>
  <conditionalFormatting sqref="W7:Y7 AA7">
    <cfRule type="expression" dxfId="25" priority="45">
      <formula>MOD(ROW(),2)=0</formula>
    </cfRule>
  </conditionalFormatting>
  <conditionalFormatting sqref="V7">
    <cfRule type="expression" dxfId="24" priority="44">
      <formula>MOD(ROW(),2)=0</formula>
    </cfRule>
  </conditionalFormatting>
  <conditionalFormatting sqref="J8:K8 N8:P8 R8:V8">
    <cfRule type="expression" dxfId="23" priority="43">
      <formula>MOD(ROW(),2)=0</formula>
    </cfRule>
  </conditionalFormatting>
  <conditionalFormatting sqref="AA8">
    <cfRule type="expression" dxfId="22" priority="40">
      <formula>MOD(ROW(),2)=0</formula>
    </cfRule>
  </conditionalFormatting>
  <conditionalFormatting sqref="W9:Y13">
    <cfRule type="expression" dxfId="21" priority="38">
      <formula>MOD(ROW(),2)=0</formula>
    </cfRule>
  </conditionalFormatting>
  <conditionalFormatting sqref="L8:L13">
    <cfRule type="expression" dxfId="20" priority="42">
      <formula>MOD(ROW(),2)=0</formula>
    </cfRule>
  </conditionalFormatting>
  <conditionalFormatting sqref="W8:Y8">
    <cfRule type="expression" dxfId="19" priority="41">
      <formula>MOD(ROW(),2)=0</formula>
    </cfRule>
  </conditionalFormatting>
  <conditionalFormatting sqref="J9:K13 N9:P13 R13:U13 R9:V12">
    <cfRule type="expression" dxfId="18" priority="39">
      <formula>MOD(ROW(),2)=0</formula>
    </cfRule>
  </conditionalFormatting>
  <conditionalFormatting sqref="Q3 Q5 Q7 Q9 Q11 Q13">
    <cfRule type="expression" dxfId="17" priority="35">
      <formula>MOD(ROW(),2)=0</formula>
    </cfRule>
  </conditionalFormatting>
  <conditionalFormatting sqref="M3 M5 M7 M9 M11 M13">
    <cfRule type="expression" dxfId="16" priority="34">
      <formula>MOD(ROW(),2)=0</formula>
    </cfRule>
  </conditionalFormatting>
  <conditionalFormatting sqref="R3">
    <cfRule type="expression" dxfId="15" priority="33">
      <formula>MOD(ROW(),2)=0</formula>
    </cfRule>
  </conditionalFormatting>
  <conditionalFormatting sqref="R4">
    <cfRule type="expression" dxfId="14" priority="32">
      <formula>MOD(ROW(),2)=0</formula>
    </cfRule>
  </conditionalFormatting>
  <conditionalFormatting sqref="R5">
    <cfRule type="expression" dxfId="13" priority="31">
      <formula>MOD(ROW(),2)=0</formula>
    </cfRule>
  </conditionalFormatting>
  <conditionalFormatting sqref="R6">
    <cfRule type="expression" dxfId="12" priority="30">
      <formula>MOD(ROW(),2)=0</formula>
    </cfRule>
  </conditionalFormatting>
  <conditionalFormatting sqref="R7">
    <cfRule type="expression" dxfId="11" priority="29">
      <formula>MOD(ROW(),2)=0</formula>
    </cfRule>
  </conditionalFormatting>
  <conditionalFormatting sqref="AB2:AE2 AB8:AE8">
    <cfRule type="expression" dxfId="10" priority="27">
      <formula>MOD(ROW(),2)=0</formula>
    </cfRule>
  </conditionalFormatting>
  <conditionalFormatting sqref="AB3:AE3">
    <cfRule type="expression" dxfId="9" priority="25">
      <formula>MOD(ROW(),2)=0</formula>
    </cfRule>
  </conditionalFormatting>
  <conditionalFormatting sqref="AB4:AE4">
    <cfRule type="expression" dxfId="8" priority="23">
      <formula>MOD(ROW(),2)=0</formula>
    </cfRule>
  </conditionalFormatting>
  <conditionalFormatting sqref="AB5:AE5">
    <cfRule type="expression" dxfId="7" priority="21">
      <formula>MOD(ROW(),2)=0</formula>
    </cfRule>
  </conditionalFormatting>
  <conditionalFormatting sqref="AB6:AE6">
    <cfRule type="expression" dxfId="6" priority="19">
      <formula>MOD(ROW(),2)=0</formula>
    </cfRule>
  </conditionalFormatting>
  <conditionalFormatting sqref="AB7:AE7">
    <cfRule type="expression" dxfId="5" priority="17">
      <formula>MOD(ROW(),2)=0</formula>
    </cfRule>
  </conditionalFormatting>
  <conditionalFormatting sqref="AB9:AE9">
    <cfRule type="expression" dxfId="4" priority="14">
      <formula>MOD(ROW(),2)=0</formula>
    </cfRule>
  </conditionalFormatting>
  <conditionalFormatting sqref="AB10:AE10">
    <cfRule type="expression" dxfId="3" priority="11">
      <formula>MOD(ROW(),2)=0</formula>
    </cfRule>
  </conditionalFormatting>
  <conditionalFormatting sqref="AB11:AE11">
    <cfRule type="expression" dxfId="2" priority="8">
      <formula>MOD(ROW(),2)=0</formula>
    </cfRule>
  </conditionalFormatting>
  <conditionalFormatting sqref="AB12:AE12">
    <cfRule type="expression" dxfId="1" priority="5">
      <formula>MOD(ROW(),2)=0</formula>
    </cfRule>
  </conditionalFormatting>
  <conditionalFormatting sqref="AB13:AE13">
    <cfRule type="expression" dxfId="0" priority="2">
      <formula>MOD(ROW(),2)=0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Прайс свет</vt:lpstr>
      <vt:lpstr>Прайс УФ</vt:lpstr>
      <vt:lpstr>Прайс опоры и фундамент</vt:lpstr>
      <vt:lpstr>КП Свет</vt:lpstr>
      <vt:lpstr>КП УФ</vt:lpstr>
      <vt:lpstr>Список версий</vt:lpstr>
      <vt:lpstr>Наклейки в паспорт Свет</vt:lpstr>
      <vt:lpstr>АКЦИЯ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Павел Шестаков</dc:creator>
  <cp:lastModifiedBy>Nekhaeva.I</cp:lastModifiedBy>
  <cp:lastPrinted>2022-11-22T21:21:46Z</cp:lastPrinted>
  <dcterms:created xsi:type="dcterms:W3CDTF">2021-01-14T09:21:53Z</dcterms:created>
  <dcterms:modified xsi:type="dcterms:W3CDTF">2023-05-03T12:22:32Z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PowerLiteLastOptimized">
    <vt:lpwstr>5140542</vt:lpwstr>
  </property>
  <property fmtid="{D5CDD505-2E9C-101B-9397-08002B2CF9AE}" pid="3" name="NXPowerLiteSettings">
    <vt:lpwstr>C7000400038000</vt:lpwstr>
  </property>
  <property fmtid="{D5CDD505-2E9C-101B-9397-08002B2CF9AE}" pid="4" name="NXPowerLiteVersion">
    <vt:lpwstr>S9.2.0</vt:lpwstr>
  </property>
</Properties>
</file>